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3"/>
  <workbookPr autoCompressPictures="0"/>
  <mc:AlternateContent xmlns:mc="http://schemas.openxmlformats.org/markup-compatibility/2006">
    <mc:Choice Requires="x15">
      <x15ac:absPath xmlns:x15ac="http://schemas.microsoft.com/office/spreadsheetml/2010/11/ac" url="/Users/chelseafloyd/Desktop/HDC/Fall 2019/Living Wage/"/>
    </mc:Choice>
  </mc:AlternateContent>
  <xr:revisionPtr revIDLastSave="0" documentId="13_ncr:1_{E0DFD66D-BFA4-0447-8BDF-144B1FBE8F63}" xr6:coauthVersionLast="45" xr6:coauthVersionMax="45" xr10:uidLastSave="{00000000-0000-0000-0000-000000000000}"/>
  <bookViews>
    <workbookView xWindow="0" yWindow="460" windowWidth="38400" windowHeight="19760" activeTab="5" xr2:uid="{00000000-000D-0000-FFFF-FFFF00000000}"/>
  </bookViews>
  <sheets>
    <sheet name="2020 Living Wage Income" sheetId="15" r:id="rId1"/>
    <sheet name="Table II - Government Transfers" sheetId="16" r:id="rId2"/>
    <sheet name="Table IV - Taxes and Credits" sheetId="17" r:id="rId3"/>
    <sheet name="CPI" sheetId="9" r:id="rId4"/>
    <sheet name="MBM" sheetId="10" r:id="rId5"/>
    <sheet name="Family Expenses" sheetId="14" r:id="rId6"/>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4" i="14" l="1"/>
  <c r="B34" i="14"/>
  <c r="C53" i="17" l="1"/>
  <c r="B12" i="14" l="1"/>
  <c r="B11" i="14"/>
  <c r="B38" i="15"/>
  <c r="B32" i="14" l="1"/>
  <c r="I64" i="14" l="1"/>
  <c r="C65" i="17"/>
  <c r="C69" i="17" s="1"/>
  <c r="E35" i="10" l="1"/>
  <c r="F35" i="10" s="1"/>
  <c r="D35" i="10"/>
  <c r="D32" i="10"/>
  <c r="I35" i="10"/>
  <c r="I32" i="10"/>
  <c r="D12" i="17"/>
  <c r="D11" i="17"/>
  <c r="D7" i="17"/>
  <c r="H6" i="10"/>
  <c r="H12" i="10"/>
  <c r="H18" i="10"/>
  <c r="H24" i="10"/>
  <c r="H36" i="10"/>
  <c r="I15" i="10" l="1"/>
  <c r="B51" i="14" l="1"/>
  <c r="B42" i="14" l="1"/>
  <c r="B5" i="14" l="1"/>
  <c r="B8" i="14" l="1"/>
  <c r="B40" i="14"/>
  <c r="C75" i="17" l="1"/>
  <c r="C74" i="17"/>
  <c r="C76" i="17" s="1"/>
  <c r="B44" i="14"/>
  <c r="I59" i="14"/>
  <c r="I69" i="14"/>
  <c r="B36" i="17" l="1"/>
  <c r="B35" i="17"/>
  <c r="B34" i="17"/>
  <c r="B33" i="17"/>
  <c r="B49" i="14"/>
  <c r="B50" i="14"/>
  <c r="B58" i="14"/>
  <c r="B59" i="14" s="1"/>
  <c r="B33" i="14"/>
  <c r="I31" i="10"/>
  <c r="B24" i="14"/>
  <c r="B19" i="14"/>
  <c r="B20" i="14" s="1"/>
  <c r="B18" i="14"/>
  <c r="B48" i="14"/>
  <c r="E31" i="10"/>
  <c r="B27" i="14" l="1"/>
  <c r="B28" i="14" s="1"/>
  <c r="B26" i="14"/>
  <c r="B25" i="14"/>
  <c r="F32" i="10"/>
  <c r="F31" i="10"/>
  <c r="E32" i="10"/>
  <c r="F15" i="10"/>
  <c r="E15" i="10"/>
  <c r="H30" i="10"/>
  <c r="G20" i="15" l="1"/>
  <c r="I12" i="16" s="1"/>
  <c r="B9" i="14" l="1"/>
  <c r="B10" i="14" s="1"/>
  <c r="B13" i="14" s="1"/>
  <c r="B8" i="15" s="1"/>
  <c r="B14" i="14" l="1"/>
  <c r="C8" i="15" s="1"/>
  <c r="I61" i="16" l="1"/>
  <c r="D15" i="10"/>
  <c r="C8" i="17" l="1"/>
  <c r="B41" i="15" s="1"/>
  <c r="I60" i="16"/>
  <c r="C24" i="16"/>
  <c r="G24" i="15" l="1"/>
  <c r="B44" i="17"/>
  <c r="B43" i="17"/>
  <c r="B42" i="17"/>
  <c r="B41" i="17"/>
  <c r="J13" i="16" l="1"/>
  <c r="J14" i="16"/>
  <c r="I16" i="16"/>
  <c r="D31" i="10" l="1"/>
  <c r="C13" i="17"/>
  <c r="B42" i="15" s="1"/>
  <c r="B64" i="14"/>
  <c r="C11" i="15" s="1"/>
  <c r="C37" i="15"/>
  <c r="C12" i="15" s="1"/>
  <c r="G56" i="14"/>
  <c r="G57" i="14"/>
  <c r="C13" i="15"/>
  <c r="B13" i="15" s="1"/>
  <c r="C4" i="17"/>
  <c r="C29" i="16"/>
  <c r="C30" i="16"/>
  <c r="C7" i="15"/>
  <c r="B7" i="15" s="1"/>
  <c r="D36" i="15"/>
  <c r="B11" i="15" l="1"/>
  <c r="G25" i="15"/>
  <c r="I17" i="16" s="1"/>
  <c r="B36" i="14"/>
  <c r="B35" i="14" s="1"/>
  <c r="B43" i="14"/>
  <c r="C6" i="15"/>
  <c r="B6" i="15" s="1"/>
  <c r="B12" i="15"/>
  <c r="C38" i="15"/>
  <c r="D38" i="15" l="1"/>
  <c r="I20" i="15" s="1"/>
  <c r="K12" i="16" s="1"/>
  <c r="H20" i="15"/>
  <c r="J12" i="16" s="1"/>
  <c r="C9" i="15"/>
  <c r="B9" i="15" s="1"/>
  <c r="C15" i="15"/>
  <c r="B15" i="15" s="1"/>
  <c r="C14" i="15"/>
  <c r="D8" i="17"/>
  <c r="D13" i="17"/>
  <c r="D50" i="15" l="1"/>
  <c r="B14" i="15"/>
  <c r="C42" i="15"/>
  <c r="H25" i="15" s="1"/>
  <c r="J17" i="16" s="1"/>
  <c r="C41" i="15"/>
  <c r="H24" i="15" s="1"/>
  <c r="J16" i="16" s="1"/>
  <c r="D42" i="15" l="1"/>
  <c r="I25" i="15" s="1"/>
  <c r="K17" i="16" s="1"/>
  <c r="D41" i="15"/>
  <c r="I24" i="15" s="1"/>
  <c r="K16" i="16" s="1"/>
  <c r="C40" i="15" l="1"/>
  <c r="C43" i="15" l="1"/>
  <c r="H26" i="15" s="1"/>
  <c r="J18" i="16" s="1"/>
  <c r="H23" i="15"/>
  <c r="J15" i="16" s="1"/>
  <c r="B53" i="14" l="1"/>
  <c r="C10" i="15" l="1"/>
  <c r="B54" i="14"/>
  <c r="C16" i="15" l="1"/>
  <c r="D12" i="15" s="1"/>
  <c r="B39" i="15"/>
  <c r="B40" i="15" s="1"/>
  <c r="G21" i="15"/>
  <c r="I21" i="15" s="1"/>
  <c r="K13" i="16" s="1"/>
  <c r="B10" i="15"/>
  <c r="B16" i="15" s="1"/>
  <c r="D9" i="15" l="1"/>
  <c r="D10" i="15"/>
  <c r="D13" i="15"/>
  <c r="D8" i="15"/>
  <c r="D15" i="15"/>
  <c r="C31" i="15"/>
  <c r="I13" i="16"/>
  <c r="D7" i="15"/>
  <c r="D14" i="15"/>
  <c r="D6" i="15"/>
  <c r="D55" i="15"/>
  <c r="D11" i="15"/>
  <c r="G22" i="15"/>
  <c r="I14" i="16" s="1"/>
  <c r="C71" i="17"/>
  <c r="B44" i="15" s="1"/>
  <c r="C70" i="17"/>
  <c r="B43" i="15" s="1"/>
  <c r="D40" i="15"/>
  <c r="B45" i="15" s="1"/>
  <c r="G23" i="15"/>
  <c r="I15" i="16" s="1"/>
  <c r="I22" i="15" l="1"/>
  <c r="K14" i="16" s="1"/>
  <c r="D16" i="15"/>
  <c r="C72" i="17"/>
  <c r="C45" i="15"/>
  <c r="D45" i="15" s="1"/>
  <c r="G27" i="15"/>
  <c r="I19" i="16" s="1"/>
  <c r="D43" i="15"/>
  <c r="G26" i="15"/>
  <c r="I18" i="16" s="1"/>
  <c r="I23" i="15"/>
  <c r="K15" i="16" s="1"/>
  <c r="I86" i="16" s="1"/>
  <c r="C28" i="17"/>
  <c r="C44" i="15" l="1"/>
  <c r="D51" i="15" s="1"/>
  <c r="D52" i="15" s="1"/>
  <c r="I77" i="16"/>
  <c r="I76" i="16"/>
  <c r="D16" i="16" s="1"/>
  <c r="B46" i="15"/>
  <c r="B47" i="15" s="1"/>
  <c r="I27" i="16"/>
  <c r="D12" i="16" s="1"/>
  <c r="I59" i="16"/>
  <c r="D15" i="16" s="1"/>
  <c r="I35" i="16"/>
  <c r="D13" i="16" s="1"/>
  <c r="D17" i="16"/>
  <c r="I58" i="16"/>
  <c r="D14" i="16" s="1"/>
  <c r="I26" i="15"/>
  <c r="K18" i="16" s="1"/>
  <c r="H27" i="15" l="1"/>
  <c r="J19" i="16" s="1"/>
  <c r="D44" i="15"/>
  <c r="I27" i="15" s="1"/>
  <c r="K19" i="16" s="1"/>
  <c r="C46" i="15"/>
  <c r="D46" i="15" s="1"/>
  <c r="I28" i="15" s="1"/>
  <c r="K20" i="16" s="1"/>
  <c r="G28" i="15"/>
  <c r="I20" i="16" s="1"/>
  <c r="C21" i="15"/>
  <c r="C13" i="16"/>
  <c r="B21" i="15" s="1"/>
  <c r="C14" i="16"/>
  <c r="B22" i="15" s="1"/>
  <c r="C22" i="15"/>
  <c r="C15" i="16"/>
  <c r="B23" i="15" s="1"/>
  <c r="C23" i="15"/>
  <c r="C24" i="15"/>
  <c r="C16" i="16"/>
  <c r="B24" i="15" s="1"/>
  <c r="C25" i="15"/>
  <c r="C17" i="16"/>
  <c r="B25" i="15" s="1"/>
  <c r="C12" i="16"/>
  <c r="B20" i="15" s="1"/>
  <c r="C20" i="15"/>
  <c r="I53" i="14" l="1"/>
  <c r="H56" i="14" s="1"/>
  <c r="I56" i="14" s="1"/>
  <c r="C47" i="15"/>
  <c r="D47" i="15" s="1"/>
  <c r="H28" i="15"/>
  <c r="J20" i="16" s="1"/>
  <c r="B26" i="15"/>
  <c r="C26" i="15"/>
  <c r="D53" i="15" s="1"/>
  <c r="D54" i="15" s="1"/>
  <c r="D56" i="15" s="1"/>
  <c r="H57" i="14" l="1"/>
  <c r="I57" i="14" s="1"/>
  <c r="I60" i="14" s="1"/>
  <c r="C30" i="15"/>
  <c r="C3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Bourgeois</author>
  </authors>
  <commentList>
    <comment ref="K15" authorId="0" shapeId="0" xr:uid="{00000000-0006-0000-0100-000001000000}">
      <text>
        <r>
          <rPr>
            <b/>
            <sz val="9"/>
            <color rgb="FF000000"/>
            <rFont val="Tahoma"/>
            <family val="2"/>
          </rPr>
          <t>Bourgeois:</t>
        </r>
        <r>
          <rPr>
            <sz val="9"/>
            <color rgb="FF000000"/>
            <rFont val="Tahoma"/>
            <family val="2"/>
          </rPr>
          <t xml:space="preserve">
</t>
        </r>
        <r>
          <rPr>
            <sz val="9"/>
            <color rgb="FF000000"/>
            <rFont val="Tahoma"/>
            <family val="2"/>
          </rPr>
          <t>net income used in the CCB calculations</t>
        </r>
      </text>
    </comment>
    <comment ref="H22" authorId="0" shapeId="0" xr:uid="{00000000-0006-0000-0100-000002000000}">
      <text>
        <r>
          <rPr>
            <b/>
            <sz val="9"/>
            <color rgb="FF000000"/>
            <rFont val="Tahoma"/>
            <family val="2"/>
          </rPr>
          <t>Bourgeois:</t>
        </r>
        <r>
          <rPr>
            <sz val="9"/>
            <color rgb="FF000000"/>
            <rFont val="Tahoma"/>
            <family val="2"/>
          </rPr>
          <t xml:space="preserve">
</t>
        </r>
        <r>
          <rPr>
            <sz val="9"/>
            <color rgb="FF000000"/>
            <rFont val="Tahoma"/>
            <family val="2"/>
          </rPr>
          <t>based on http://www2.gnb.ca/content/gnb/en/departments/finance/taxes/child_tax_benefit.html</t>
        </r>
      </text>
    </comment>
    <comment ref="H29" authorId="0" shapeId="0" xr:uid="{00000000-0006-0000-0100-000003000000}">
      <text>
        <r>
          <rPr>
            <b/>
            <sz val="9"/>
            <color rgb="FF000000"/>
            <rFont val="Tahoma"/>
            <family val="2"/>
          </rPr>
          <t>Bourgeois:</t>
        </r>
        <r>
          <rPr>
            <sz val="9"/>
            <color rgb="FF000000"/>
            <rFont val="Tahoma"/>
            <family val="2"/>
          </rPr>
          <t xml:space="preserve">
</t>
        </r>
        <r>
          <rPr>
            <sz val="9"/>
            <color rgb="FF000000"/>
            <rFont val="Tahoma"/>
            <family val="2"/>
          </rPr>
          <t>based on http://www2.gnb.ca/content/gnb/en/departments/finance/taxes/child_tax_benefit.html</t>
        </r>
      </text>
    </comment>
    <comment ref="H31" authorId="0" shapeId="0" xr:uid="{00000000-0006-0000-0100-000004000000}">
      <text>
        <r>
          <rPr>
            <b/>
            <sz val="9"/>
            <color rgb="FF000000"/>
            <rFont val="Tahoma"/>
            <family val="2"/>
          </rPr>
          <t>Bourgeois:</t>
        </r>
        <r>
          <rPr>
            <sz val="9"/>
            <color rgb="FF000000"/>
            <rFont val="Tahoma"/>
            <family val="2"/>
          </rPr>
          <t xml:space="preserve">
</t>
        </r>
        <r>
          <rPr>
            <sz val="9"/>
            <color rgb="FF000000"/>
            <rFont val="Tahoma"/>
            <family val="2"/>
          </rPr>
          <t>employment income</t>
        </r>
      </text>
    </comment>
    <comment ref="H37" authorId="0" shapeId="0" xr:uid="{00000000-0006-0000-0100-000005000000}">
      <text>
        <r>
          <rPr>
            <b/>
            <sz val="9"/>
            <color rgb="FF000000"/>
            <rFont val="Tahoma"/>
            <family val="2"/>
          </rPr>
          <t>Bourgeois:</t>
        </r>
        <r>
          <rPr>
            <sz val="9"/>
            <color rgb="FF000000"/>
            <rFont val="Tahoma"/>
            <family val="2"/>
          </rPr>
          <t xml:space="preserve">
</t>
        </r>
        <r>
          <rPr>
            <sz val="9"/>
            <color rgb="FF000000"/>
            <rFont val="Tahoma"/>
            <family val="2"/>
          </rPr>
          <t xml:space="preserve">based on https://www.fin.gc.ca/n17/data/17-103_1-eng.asp
</t>
        </r>
        <r>
          <rPr>
            <sz val="9"/>
            <color rgb="FF000000"/>
            <rFont val="Tahoma"/>
            <family val="2"/>
          </rPr>
          <t xml:space="preserve">
</t>
        </r>
        <r>
          <rPr>
            <sz val="9"/>
            <color rgb="FF000000"/>
            <rFont val="Tahoma"/>
            <family val="2"/>
          </rPr>
          <t xml:space="preserve">note : the calculation is hard to do within one single formula, so I used the 2 and 7 year old kids - if this changes, then the calculation needs to be ammended
</t>
        </r>
      </text>
    </comment>
    <comment ref="H63" authorId="0" shapeId="0" xr:uid="{00000000-0006-0000-0100-000006000000}">
      <text>
        <r>
          <rPr>
            <b/>
            <sz val="9"/>
            <color rgb="FF000000"/>
            <rFont val="Tahoma"/>
            <family val="2"/>
          </rPr>
          <t>Bourgeois:</t>
        </r>
        <r>
          <rPr>
            <sz val="9"/>
            <color rgb="FF000000"/>
            <rFont val="Tahoma"/>
            <family val="2"/>
          </rPr>
          <t xml:space="preserve">
</t>
        </r>
        <r>
          <rPr>
            <sz val="9"/>
            <color rgb="FF000000"/>
            <rFont val="Tahoma"/>
            <family val="2"/>
          </rPr>
          <t>based on https://www.canada.ca/content/dam/cra-arc/formspubs/pub/rc4210/rc4210-17e.pdf</t>
        </r>
      </text>
    </comment>
    <comment ref="H79" authorId="0" shapeId="0" xr:uid="{00000000-0006-0000-0100-000007000000}">
      <text>
        <r>
          <rPr>
            <b/>
            <sz val="9"/>
            <color rgb="FF000000"/>
            <rFont val="Tahoma"/>
            <family val="2"/>
          </rPr>
          <t>Bourgeois:</t>
        </r>
        <r>
          <rPr>
            <sz val="9"/>
            <color rgb="FF000000"/>
            <rFont val="Tahoma"/>
            <family val="2"/>
          </rPr>
          <t xml:space="preserve">
</t>
        </r>
        <r>
          <rPr>
            <sz val="9"/>
            <color rgb="FF000000"/>
            <rFont val="Tahoma"/>
            <family val="2"/>
          </rPr>
          <t xml:space="preserve">source https://www.canada.ca/en/revenue-agency/services/child-family-benefits/provincial-territorial-programs/information-new-brunswick-harmonized-sales-tax-credit.html#Q5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Bourgeois</author>
    <author>Jean-Philippe Bourgeois</author>
  </authors>
  <commentList>
    <comment ref="C7" authorId="0" shapeId="0" xr:uid="{00000000-0006-0000-0200-000001000000}">
      <text>
        <r>
          <rPr>
            <b/>
            <sz val="9"/>
            <color rgb="FF000000"/>
            <rFont val="Tahoma"/>
            <family val="2"/>
          </rPr>
          <t>Bourgeois:</t>
        </r>
        <r>
          <rPr>
            <sz val="9"/>
            <color rgb="FF000000"/>
            <rFont val="Tahoma"/>
            <family val="2"/>
          </rPr>
          <t xml:space="preserve">
</t>
        </r>
        <r>
          <rPr>
            <sz val="9"/>
            <color rgb="FF000000"/>
            <rFont val="Tahoma"/>
            <family val="2"/>
          </rPr>
          <t xml:space="preserve">source https://www.canada.ca/en/revenue-agency/services/tax/businesses/topics/payroll/payroll-deductions-contributions/employment-insurance-ei/ei-premium-rates-maximums.html
</t>
        </r>
      </text>
    </comment>
    <comment ref="C65" authorId="1" shapeId="0" xr:uid="{ED5D91F9-2247-BC43-8A74-550836934130}">
      <text>
        <r>
          <rPr>
            <b/>
            <sz val="9"/>
            <color rgb="FF000000"/>
            <rFont val="Calibri"/>
            <family val="2"/>
          </rPr>
          <t>Jean-Philippe Bourgeois:</t>
        </r>
        <r>
          <rPr>
            <sz val="9"/>
            <color rgb="FF000000"/>
            <rFont val="Calibri"/>
            <family val="2"/>
          </rPr>
          <t xml:space="preserve">
</t>
        </r>
        <r>
          <rPr>
            <sz val="9"/>
            <color rgb="FF000000"/>
            <rFont val="Calibri"/>
            <family val="2"/>
          </rPr>
          <t xml:space="preserve">because of the way the calculation is performed, we can't link the cell, and must use 13000. for the firs time
</t>
        </r>
      </text>
    </comment>
    <comment ref="C69" authorId="0" shapeId="0" xr:uid="{FBFE8E0D-D8E7-CB40-AAB9-3D8B3AA213DC}">
      <text>
        <r>
          <rPr>
            <b/>
            <sz val="9"/>
            <color rgb="FF000000"/>
            <rFont val="Tahoma"/>
            <family val="2"/>
          </rPr>
          <t>Bourgeois:</t>
        </r>
        <r>
          <rPr>
            <sz val="9"/>
            <color rgb="FF000000"/>
            <rFont val="Tahoma"/>
            <family val="2"/>
          </rPr>
          <t xml:space="preserve">
</t>
        </r>
        <r>
          <rPr>
            <sz val="9"/>
            <color rgb="FF000000"/>
            <rFont val="Tahoma"/>
            <family val="2"/>
          </rPr>
          <t xml:space="preserve">in first time calc, this is not used, because of a loop formation
</t>
        </r>
      </text>
    </comment>
  </commentList>
</comments>
</file>

<file path=xl/sharedStrings.xml><?xml version="1.0" encoding="utf-8"?>
<sst xmlns="http://schemas.openxmlformats.org/spreadsheetml/2006/main" count="527" uniqueCount="338">
  <si>
    <t>Child Tax</t>
  </si>
  <si>
    <t>Item</t>
  </si>
  <si>
    <t>Monthly</t>
  </si>
  <si>
    <t>Annually</t>
  </si>
  <si>
    <t>One Child Under 6</t>
  </si>
  <si>
    <t>Food</t>
  </si>
  <si>
    <t>One Child Over 6</t>
  </si>
  <si>
    <t>Clothing and Footwear</t>
  </si>
  <si>
    <t>Shelter</t>
  </si>
  <si>
    <t>Transportation</t>
  </si>
  <si>
    <t>Child Care</t>
  </si>
  <si>
    <t>Health Care</t>
  </si>
  <si>
    <t>Contingency/Emergency</t>
  </si>
  <si>
    <t>Parent Education</t>
  </si>
  <si>
    <t>Household Expenses</t>
  </si>
  <si>
    <t>Social Inclusion</t>
  </si>
  <si>
    <t>Total</t>
  </si>
  <si>
    <t>Table II:  Non-Wage Income (Government Transfers)</t>
  </si>
  <si>
    <t>Income</t>
  </si>
  <si>
    <t>Table III:  Family Income Less Family Expenses</t>
  </si>
  <si>
    <t>Available Annual Income</t>
  </si>
  <si>
    <t>Annual Family Expenses</t>
  </si>
  <si>
    <t>Gap</t>
  </si>
  <si>
    <t>Table IV:  The Living Wage and Government Deductions and Taxes</t>
  </si>
  <si>
    <t>Column1</t>
  </si>
  <si>
    <t>Parent 1</t>
  </si>
  <si>
    <t>Parent 2</t>
  </si>
  <si>
    <t>Hours / Week</t>
  </si>
  <si>
    <t>Wage</t>
  </si>
  <si>
    <t>Net Income</t>
  </si>
  <si>
    <t>EI Premiums</t>
  </si>
  <si>
    <t>CPP Premiums</t>
  </si>
  <si>
    <t>Fed. Income Tax</t>
  </si>
  <si>
    <t>Prov. Income Tax</t>
  </si>
  <si>
    <t>Fed. Refundable Credits</t>
  </si>
  <si>
    <t>After Tax Income</t>
  </si>
  <si>
    <t>Monthly After Tax Inc.</t>
  </si>
  <si>
    <t>Table V:  Family Income less Gov't Deductions and Taxes plus Gov't Transfers</t>
  </si>
  <si>
    <t>Total Annual Income from Employment</t>
  </si>
  <si>
    <t xml:space="preserve">  - EI, CPP, Fed. and Prov. Taxes</t>
  </si>
  <si>
    <t>Equals Family Take Home Pay</t>
  </si>
  <si>
    <t>Equals Total Disposable Family Income</t>
  </si>
  <si>
    <t xml:space="preserve">  - Family Expenses</t>
  </si>
  <si>
    <t>Equals Income less expenses</t>
  </si>
  <si>
    <t>Survey or program details:</t>
  </si>
  <si>
    <t>Consumer Price Index - 2301</t>
  </si>
  <si>
    <t>Products and product groups (15)</t>
  </si>
  <si>
    <t>Component</t>
  </si>
  <si>
    <t>Food (17)</t>
  </si>
  <si>
    <t>Shelter (18)</t>
  </si>
  <si>
    <t>Clothing and footwear</t>
  </si>
  <si>
    <t>Gasoline</t>
  </si>
  <si>
    <t>Health and personal care</t>
  </si>
  <si>
    <t>Recreation, education and reading</t>
  </si>
  <si>
    <t>Alcoholic beverages and tobacco products</t>
  </si>
  <si>
    <t>All-items excluding food and energy (25)</t>
  </si>
  <si>
    <t>All-items excluding energy (25)</t>
  </si>
  <si>
    <t>Energy (25)</t>
  </si>
  <si>
    <t>Goods (27)</t>
  </si>
  <si>
    <t>Services (28)</t>
  </si>
  <si>
    <t>Footnotes:</t>
  </si>
  <si>
    <t>The Consumer Price Index (CPI) is not a cost-of-living index. The objective behind a cost-of-living index is to measure changes in expenditures necessary for consumers to maintain a constant standard of living. The idea is that consumers would normally switch between products as the price relationship of goods changes. If, for example, consumers get the same satisfaction from drinking tea as they do from coffee, then it is possible to substitute tea for coffee if the price of tea falls relative to the price of coffee. The cheaper of the interchangeable products may be chosen. We could compute a cost-of-living index for an individual if we had complete information about that person's taste and spending habits. To do this for a large number of people, let alone the total population of Canada, is impossible. For this reason, regularly published price indexes are based on the fixed-basket concept rather than the cost-of-living concept.</t>
  </si>
  <si>
    <t>Food includes non-alcoholic beverages.</t>
  </si>
  <si>
    <t>Goods are physical or tangible commodities usually classified according to their life span into non-durable goods, semi-durable goods and durable goods. Non-durable goods are those goods that can be used up entirely in less than a year, assuming normal usage. For example, fresh food products, disposable cameras and gasoline are non-durable goods. Semi-durable goods are those goods that may last less than 12 months or greater than 12 months depending on the purpose to which they are put. For example, clothing, footwear and household textiles are semi-durable goods. Durable goods are those goods which may be used repeatedly or continuously over more than a year, assuming normal usage. For example, cars, audio and video equipment and furniture are durable goods.</t>
  </si>
  <si>
    <t>A service in the Consumer Price Index (CPI) is characterized by valuable work performed by an individual or organization on behalf of a consumer, for example, car tune-ups, haircuts and city public transportation. Transactions classified as a service may include the cost of goods by their nature. Examples include food in restaurant food services and materials in clothing repair services.</t>
  </si>
  <si>
    <t>Source:</t>
  </si>
  <si>
    <t>Statistics Canada. Table 326-0021 - Consumer Price Index (CPI), annual (2002=100 unless otherwise noted)</t>
  </si>
  <si>
    <t>Geography</t>
  </si>
  <si>
    <t>All-items</t>
  </si>
  <si>
    <t>Operation of passenger vehicles</t>
  </si>
  <si>
    <t>With the introduction of the 1992 basket in January 1995, emphasis was shifted from city data to provincial data. City all-items series were continued since many users had come to rely on this service, but the method of calculation was changed. Shelter indexes are calculated for each city. This recognizes the importance of shelter in the basket, the significant and persistent differences in price movements between cities, and the availability of local data. For the other seven major components, the movement of the provincial counterpart is used except in the cases of Montréal, Toronto, and Vancouver, where a sub-provincial counterpart is used. The major components are aggregated using the city's expenditure pattern to arrive at each city's all-items index.</t>
  </si>
  <si>
    <t>The goods and services that make up the Consumer Price Index (CPI) are organized according to a hierarchical structure with the "all-items CPI" as the top level. Eight major components of goods and services make up the "all-items CPI". They are: "food", "shelter", "household operations, furnishings and equipment", "clothing and footwear", "transportation", "health and personal care", "recreation, education and reading", and "alcoholic beverages and tobacco products". These eight components are broken down into a varying number of sub-groups which are in turn broken down into other sub-groups. Indents are used to identify the components that make up each level of aggregation. For example, the eight major components appear with one indent relative to the "all-items CPI" to show that they are combined to obtain the "all-items CPI". NOTE: Some items are recombined outside the main structure of the CPI to obtain special aggregates such as "all-items CPI excluding food and energy", "energy", "goods", "services", or "fresh fruit and vegetables". They are listed after the components of the main structure of the CPI following the last major component entitled "alcoholic beverages and tobacco products".</t>
  </si>
  <si>
    <t>Survey of Labour and Income Dynamics - 3889</t>
  </si>
  <si>
    <t>Canadian Income Survey - 5200</t>
  </si>
  <si>
    <t>Total threshold</t>
  </si>
  <si>
    <t>Clothing</t>
  </si>
  <si>
    <t>Other expenses</t>
  </si>
  <si>
    <t>Source: Income Statistics Division, Statistics Canada</t>
  </si>
  <si>
    <t>The Market Basket Measure (MBM), developed by Employment and Social Development Canada, attempts to measure a standard of living that is a compromise between subsistence and social inclusion. It also reflects differences in living costs across regions. The MBM represents the cost of a basket that includes: a nutritious diet, clothing and footwear, shelter, transportation, and other necessary goods and services (such as personal care items or household supplies). The cost of the basket is compared to disposable income for each family to determine low income rates.</t>
  </si>
  <si>
    <t>Rural areas: includes communities with a population of less than 1,000 or with a population density less than 400 persons per square kilometer that are located outside Census metropolitan areas (CMAs) or Census agglomerations (CAs). Population under 30,000 : CAs below 30,000 and population centres below 10,000 persons. Population 30,000 to 99,999 : CAs between 30,000 and 99,999 persons. Population 100,000 to 499,999: CMAs between 100,000 and 499,999. Population 500,000 and over: CMAs with 500,000 or more persons. Specific city name refers to the population within the CMA or CA.</t>
  </si>
  <si>
    <t>Content Insurance</t>
  </si>
  <si>
    <t>Total Monthly</t>
  </si>
  <si>
    <t>Base Customer Charge</t>
  </si>
  <si>
    <t>Rate/KWh (1100)</t>
  </si>
  <si>
    <t>HST</t>
  </si>
  <si>
    <t>12monthly bus passes</t>
  </si>
  <si>
    <t>Total Annual</t>
  </si>
  <si>
    <t>Before/After School(7y/o)</t>
  </si>
  <si>
    <t>Summer &amp; March Break (7y/o)</t>
  </si>
  <si>
    <t>Child Care Subsidy*</t>
  </si>
  <si>
    <t>GST Credit</t>
  </si>
  <si>
    <t xml:space="preserve"> </t>
  </si>
  <si>
    <t>New Brunswick</t>
  </si>
  <si>
    <t>Geography 3</t>
  </si>
  <si>
    <t>New Brunswick, rural</t>
  </si>
  <si>
    <t>New Brunswick, population under 30,000</t>
  </si>
  <si>
    <t>New Brunswick, population 30,000 to 99,999</t>
  </si>
  <si>
    <t>Fredericton, New Brunswick</t>
  </si>
  <si>
    <t>Saint John, New Brunswick</t>
  </si>
  <si>
    <t>Moncton, New Brunswick</t>
  </si>
  <si>
    <t>(accessed: June 20, 2017)</t>
  </si>
  <si>
    <t>Statistics Canada. Table 206-0093 - Market Basket Measure (MBM) thresholds (2011 base) for reference family, by Market Basket Measure region and component, in current dollars and 2015 constant dollars, annual</t>
  </si>
  <si>
    <t>NBCTB</t>
  </si>
  <si>
    <t>NBWIS</t>
  </si>
  <si>
    <t>Income Range</t>
  </si>
  <si>
    <t>Child Care Subsidy</t>
  </si>
  <si>
    <t xml:space="preserve"># of days </t>
  </si>
  <si>
    <t xml:space="preserve">daily rate </t>
  </si>
  <si>
    <t>FT Child rate</t>
  </si>
  <si>
    <t>PT Child rate</t>
  </si>
  <si>
    <t>annual subsidy</t>
  </si>
  <si>
    <t>Total Annual Subsidy</t>
  </si>
  <si>
    <t>NBHSTC</t>
  </si>
  <si>
    <t>Food Costs</t>
  </si>
  <si>
    <t>toddler (full time 23days/month)</t>
  </si>
  <si>
    <t>Table I: Family Expenses--Two Adults and Two Children (age 2 and 7)</t>
  </si>
  <si>
    <t xml:space="preserve">  + Transfers </t>
  </si>
  <si>
    <t>Family Employment Income Adj.</t>
  </si>
  <si>
    <t>school-age (before+after school 42wks, 5days/wk)</t>
  </si>
  <si>
    <t>+</t>
  </si>
  <si>
    <t>Textbook allowance per course</t>
  </si>
  <si>
    <t>Monthly Internet service (cheapest available)</t>
  </si>
  <si>
    <t>Table 206-0093 Market Basket Measure (MBM) thresholds (2011 base) for reference family, by Market Basket Measure region and component, in current dollars and 2016 constant dollars, annual(1,2)</t>
  </si>
  <si>
    <t>Table 326-0021 Consumer Price Index (CPI), annual (2002=100)(2,9)</t>
  </si>
  <si>
    <t>Saint John, New Brunswick [13310]  (11)</t>
  </si>
  <si>
    <t>This table replaces CANSIM table 326-0002 which was archived with the release of April 2007 data.</t>
  </si>
  <si>
    <t>Part of the increase first recorded in the shelter index for Yellowknife for December 2004 inadvertently reflected rent increases that actually occurred earlier. As a result, the change in the shelter index was overstated in December 2004, and was understated in the previous two years. The shelter index series for Yellowknife has been corrected from December 2002. In addition, the Yellowknife All-items consumer price index (CPI) and some Yellowknife special aggregate index series have also changed. Data for Canada and all other provinces and territories were not affected.</t>
  </si>
  <si>
    <t>The special aggregate "energy" includes: "electricity", "natural gas", "fuel oil and other fuels", "gasoline", and "fuel, parts and accessories for recreational vehicles".</t>
  </si>
  <si>
    <t>CPI adjusted</t>
  </si>
  <si>
    <t>Rented accommodation</t>
  </si>
  <si>
    <t>Rent (32)</t>
  </si>
  <si>
    <t>Revision of the methodology of the Rent component of the Consumer Price Index (CPI) beginning with the July 2009 CPI - http://www23.statcan.gc.ca/imdb-bmdi/document/2301_D41_T9_V1-eng.pdf.</t>
  </si>
  <si>
    <t>Toddler Full Time Centre-Based (2y/o)</t>
  </si>
  <si>
    <t>school-age (full day 7 weeks/year @ 5days/wk)</t>
  </si>
  <si>
    <t xml:space="preserve">Annual Cost, Adjusted using CPI </t>
  </si>
  <si>
    <t>Non-Public Health Care</t>
  </si>
  <si>
    <t>Basic Health Insurance-quoted monthly</t>
  </si>
  <si>
    <t>Total Annual Health Insurance</t>
  </si>
  <si>
    <t>Other Expenses</t>
  </si>
  <si>
    <t>% of Total Annually</t>
  </si>
  <si>
    <t>CCB (Jan-June)</t>
  </si>
  <si>
    <t>CCB (July-December)</t>
  </si>
  <si>
    <t>Average Student Fees per year</t>
  </si>
  <si>
    <t>Month</t>
  </si>
  <si>
    <t>Annual</t>
  </si>
  <si>
    <t>Notes</t>
  </si>
  <si>
    <t>CCB (jan-Jun)</t>
  </si>
  <si>
    <t>CCB (jul -dec)</t>
  </si>
  <si>
    <t>GST credit</t>
  </si>
  <si>
    <t>General Information</t>
  </si>
  <si>
    <t>number of kids under 18</t>
  </si>
  <si>
    <t>age of kid 1</t>
  </si>
  <si>
    <t>age of kid 2</t>
  </si>
  <si>
    <t xml:space="preserve">cells in </t>
  </si>
  <si>
    <t>need to be possibly updated</t>
  </si>
  <si>
    <t>don’t touch, unless the formula has changed</t>
  </si>
  <si>
    <t>don't touch, they are simply linked</t>
  </si>
  <si>
    <t>NBCTB calculation</t>
  </si>
  <si>
    <t>annual payment for each child</t>
  </si>
  <si>
    <t>1 child rate</t>
  </si>
  <si>
    <t>2 child rate</t>
  </si>
  <si>
    <t>NBCTB annual payment</t>
  </si>
  <si>
    <t>Employment income</t>
    <phoneticPr fontId="1" type="noConversion"/>
  </si>
  <si>
    <t>Childcare expenses claimed</t>
    <phoneticPr fontId="1" type="noConversion"/>
  </si>
  <si>
    <t>Adjustments</t>
    <phoneticPr fontId="1" type="noConversion"/>
  </si>
  <si>
    <t>Net Income</t>
    <phoneticPr fontId="1" type="noConversion"/>
  </si>
  <si>
    <t>EI Premiums</t>
    <phoneticPr fontId="1" type="noConversion"/>
  </si>
  <si>
    <t>CPP Premiums</t>
    <phoneticPr fontId="1" type="noConversion"/>
  </si>
  <si>
    <t>Fed. Income Tax</t>
    <phoneticPr fontId="1" type="noConversion"/>
  </si>
  <si>
    <t>Prov. Income Tax</t>
    <phoneticPr fontId="1" type="noConversion"/>
  </si>
  <si>
    <t>After Tax Income</t>
    <phoneticPr fontId="1" type="noConversion"/>
  </si>
  <si>
    <t>this years income</t>
  </si>
  <si>
    <t>NCWIS calculation</t>
  </si>
  <si>
    <t>annual payment per family</t>
  </si>
  <si>
    <t>rate on earned income</t>
  </si>
  <si>
    <t>rate on net income</t>
  </si>
  <si>
    <t>NCWIS annual payment</t>
  </si>
  <si>
    <t xml:space="preserve">* this is simply used to link to table 4, as it calculates the first time. </t>
  </si>
  <si>
    <t>max child under 6</t>
  </si>
  <si>
    <t>max child 6 to 17</t>
  </si>
  <si>
    <r>
      <t xml:space="preserve">reduction rates </t>
    </r>
    <r>
      <rPr>
        <b/>
        <u/>
        <sz val="12"/>
        <color theme="1"/>
        <rFont val="Calibri"/>
        <family val="2"/>
        <scheme val="minor"/>
      </rPr>
      <t>between</t>
    </r>
    <r>
      <rPr>
        <u/>
        <sz val="11"/>
        <color theme="1"/>
        <rFont val="Calibri"/>
        <family val="2"/>
        <scheme val="minor"/>
      </rPr>
      <t xml:space="preserve"> AFNI</t>
    </r>
  </si>
  <si>
    <t>1 child family</t>
  </si>
  <si>
    <t>2 chidren family</t>
  </si>
  <si>
    <t>3 children family</t>
  </si>
  <si>
    <t>4+ children family</t>
  </si>
  <si>
    <r>
      <t xml:space="preserve">plus rates  AFNI </t>
    </r>
    <r>
      <rPr>
        <b/>
        <u/>
        <sz val="12"/>
        <color theme="1"/>
        <rFont val="Calibri"/>
        <family val="2"/>
        <scheme val="minor"/>
      </rPr>
      <t>over</t>
    </r>
  </si>
  <si>
    <r>
      <t xml:space="preserve">CCB </t>
    </r>
    <r>
      <rPr>
        <b/>
        <sz val="12"/>
        <color theme="1"/>
        <rFont val="Calibri"/>
        <family val="2"/>
        <scheme val="minor"/>
      </rPr>
      <t>6 months</t>
    </r>
    <r>
      <rPr>
        <sz val="11"/>
        <color theme="1"/>
        <rFont val="Calibri"/>
        <family val="2"/>
        <scheme val="minor"/>
      </rPr>
      <t xml:space="preserve"> (Jan-June)</t>
    </r>
  </si>
  <si>
    <r>
      <t xml:space="preserve">CCB </t>
    </r>
    <r>
      <rPr>
        <b/>
        <sz val="12"/>
        <color theme="1"/>
        <rFont val="Calibri"/>
        <family val="2"/>
        <scheme val="minor"/>
      </rPr>
      <t>6 months</t>
    </r>
    <r>
      <rPr>
        <sz val="11"/>
        <color theme="1"/>
        <rFont val="Calibri"/>
        <family val="2"/>
        <scheme val="minor"/>
      </rPr>
      <t xml:space="preserve"> (July-Dec)</t>
    </r>
  </si>
  <si>
    <t>no CCB at FNI (Jan-June)</t>
  </si>
  <si>
    <t>no CCB at FNI (July-Dec)</t>
  </si>
  <si>
    <t>basic credit</t>
  </si>
  <si>
    <t>credit for kids</t>
  </si>
  <si>
    <t>rate of net income difference</t>
  </si>
  <si>
    <t>single, no children : payment</t>
  </si>
  <si>
    <t>single, with custody: payment +</t>
  </si>
  <si>
    <t>child &lt;19 age amount</t>
  </si>
  <si>
    <t>reduction rate</t>
  </si>
  <si>
    <t>NBHSTC annual payment</t>
  </si>
  <si>
    <t>it is just like the bc calculations</t>
  </si>
  <si>
    <t>again this felt more organic to simply create a few more tables which could easily be update on there own and then update table 4 on the main sheet automatically.</t>
  </si>
  <si>
    <t>values in bold are used</t>
  </si>
  <si>
    <t xml:space="preserve">Employment Insurance rate </t>
  </si>
  <si>
    <t>Canadian Pension Plan</t>
  </si>
  <si>
    <t>CPP rate</t>
  </si>
  <si>
    <t>basic exemption</t>
  </si>
  <si>
    <t>Income tax credits</t>
  </si>
  <si>
    <t>Provincial</t>
  </si>
  <si>
    <t>Federal</t>
  </si>
  <si>
    <t>basic personal ammount</t>
  </si>
  <si>
    <t>spouce equivalence amount</t>
  </si>
  <si>
    <t>age amount</t>
  </si>
  <si>
    <t>disability amount</t>
  </si>
  <si>
    <t>medical expense rate</t>
  </si>
  <si>
    <t>non-refundable tax credit rate</t>
  </si>
  <si>
    <t>canada employment amount</t>
  </si>
  <si>
    <t>treshold amount</t>
  </si>
  <si>
    <t>phase out rate</t>
  </si>
  <si>
    <t>max reduction</t>
  </si>
  <si>
    <t>Provincial income tax rates</t>
  </si>
  <si>
    <t>min range</t>
  </si>
  <si>
    <t>max range</t>
  </si>
  <si>
    <t>rate</t>
  </si>
  <si>
    <t>*income specific, if the income goes above this, it will be wrong</t>
  </si>
  <si>
    <t>Federal income tax rates</t>
  </si>
  <si>
    <t>base amount</t>
  </si>
  <si>
    <t>WITB rate</t>
  </si>
  <si>
    <t>maximum benefit</t>
  </si>
  <si>
    <t>income to zero</t>
  </si>
  <si>
    <t>rate for WITB reduction</t>
  </si>
  <si>
    <t>WITB</t>
  </si>
  <si>
    <t>CCP premiums</t>
  </si>
  <si>
    <t>EI premiums</t>
  </si>
  <si>
    <t xml:space="preserve">Employment Insurance </t>
  </si>
  <si>
    <t>Division of Income, Expenses, Tax Credits</t>
    <phoneticPr fontId="0" type="noConversion"/>
  </si>
  <si>
    <t>amount children under 6</t>
  </si>
  <si>
    <t>amount children over 6 and under 18</t>
  </si>
  <si>
    <t>low income tax deduction</t>
  </si>
  <si>
    <t>parent 2</t>
  </si>
  <si>
    <t>Total Monthly for Power</t>
  </si>
  <si>
    <t>Employment income</t>
  </si>
  <si>
    <t>Childcare expenses claimed</t>
  </si>
  <si>
    <t>Adjustments</t>
  </si>
  <si>
    <t>Day Care Assistance Rates</t>
  </si>
  <si>
    <t>Designated Centre</t>
  </si>
  <si>
    <t>childcare credit</t>
  </si>
  <si>
    <t>Centre</t>
  </si>
  <si>
    <t># of days</t>
  </si>
  <si>
    <t>daily rate</t>
  </si>
  <si>
    <t>Designated Centre - Day Care Rates - Toddler</t>
  </si>
  <si>
    <t>Daycare assistance rates - 7year old</t>
  </si>
  <si>
    <t>Summer camp/full time care - 7 year old</t>
  </si>
  <si>
    <t>Additional $14 on PD/strom days</t>
  </si>
  <si>
    <t>CCPA RATE</t>
  </si>
  <si>
    <t>2019: accessed February 20, 2020</t>
  </si>
  <si>
    <t>This table replaces table 18-10-0009-01 which was archived with the release of April 2007 data.</t>
  </si>
  <si>
    <t>The goods and services that make up the Consumer Price Index (CPI) are organized according to a hierarchical structure with the "all-items CPI" as the top level. Eight major components of goods and services make up the "all-items CPI". They are: "food", "shelter", "household operations, furnishings and equipment", "clothing and footwear", "transportation", "health and personal care", "recreation, education and reading", and "alcoholic beverages, tobacco products and recreational cannabis". These eight components are broken down into a varying number of sub-groups which are in turn broken down into other sub-groups. Indents are used to identify the components that make up each level of aggregation. For example, the eight major components appear with one indent relative to the "all-items CPI" to show that they are combined to obtain the "all-items CPI". NOTE: Some items are recombined outside the main structure of the CPI to obtain special aggregates such as "all-items excluding food and energy", "energy", "goods", "services", or "fresh fruit and vegetables". They are listed after the components of the main structure of the CPI following the last major component entitled "alcoholic beverages, tobacco products and recreational cannabis".</t>
  </si>
  <si>
    <t>Revision of the methodology of the rent component (http://www23.statcan.gc.ca/imdb-bmdi/document/2301_D41_T9_V1-eng.pdf) of the Consumer Price Index (CPI), beginning with the July 2009 CPI.  New approach for estimating the rent component (https://www150.statcan.gc.ca/n1/pub/62f0014m/62f0014m2019002-eng.htm) of the Consumer Price Index, beginning with the January 2019 CPI.</t>
  </si>
  <si>
    <t>2018-base MBM (from Feb 2020 report)</t>
  </si>
  <si>
    <t>NOTES:</t>
  </si>
  <si>
    <t>Chelsea's NOTES:</t>
  </si>
  <si>
    <t xml:space="preserve"> Family Expenses 2019</t>
  </si>
  <si>
    <t>Saint John Energy Rates effective July 18, 2019</t>
  </si>
  <si>
    <t>MBM 2018-Base, Clothing, Saint John</t>
  </si>
  <si>
    <t>MBM 2018-base, adj inflation, Saint John, annual</t>
  </si>
  <si>
    <t>Saint John Transit, October 2019</t>
  </si>
  <si>
    <t>Power, SJ Energy, effective July 18, 2019</t>
  </si>
  <si>
    <t>This stayed the same</t>
  </si>
  <si>
    <t>https://www.canada.ca/en/revenue-agency/services/child-family-benefits/provincial-territorial-programs/province-new-brunswick.html#Q2</t>
  </si>
  <si>
    <t>https://www2.gnb.ca/content/gnb/en/departments/finance/taxes/child_tax_benefit.html</t>
  </si>
  <si>
    <t>Child benefit Calculation (CCB)</t>
  </si>
  <si>
    <t>https://www.canada.ca/en/revenue-agency/services/child-family-benefits/canada-child-benefit-overview/canada-child-benefit-ccb-calculation-sheet-july-2019-june-2020-payments-2018-tax-year.html</t>
  </si>
  <si>
    <t>Living Wage Calculation: Saint John 2020 (based on 2019 data)</t>
  </si>
  <si>
    <t>CCPA RATE - Preschool median toddler fees 2019</t>
  </si>
  <si>
    <t>credit for spouse</t>
  </si>
  <si>
    <t>Calculation sheet for the July 2019 to June 2020 payments (2018 tax year)</t>
  </si>
  <si>
    <t>https://www.canada.ca/en/revenue-agency/services/child-family-benefits/goods-services-tax-harmonized-sales-tax-gst-hst-credit/goods-services-tax-harmonized-sales-tax-credit-calculation-sheet-july-2019-june-2020-payments-2018-tax-year.html</t>
  </si>
  <si>
    <t>Median Rent, 3 bedroom - CMHC (SJ South)</t>
  </si>
  <si>
    <t>PD, Dec Break, Nonstat Holidays</t>
  </si>
  <si>
    <t>Table IIa:  Calculation for For Government Tax and Transfers</t>
  </si>
  <si>
    <t>*linked, don't touch</t>
  </si>
  <si>
    <t>January-June 2019</t>
  </si>
  <si>
    <t xml:space="preserve">July-December 2019 </t>
  </si>
  <si>
    <t>January to June 2019</t>
  </si>
  <si>
    <t>July to December 2019</t>
  </si>
  <si>
    <t>January-June credit</t>
  </si>
  <si>
    <t>July-December credit</t>
  </si>
  <si>
    <t>July 2019 - June 2020 Calculation Sheet (2018 tax year)</t>
  </si>
  <si>
    <t>July 2018 - June 2019 Calculation Sheet (2017 tax year)</t>
  </si>
  <si>
    <t>https://www.canada.ca/en/revenue-agency/services/child-family-benefits/canada-child-benefit-overview/canada-child-benefit-ccb-calculation-sheet-july-2018-june-2019-payments-2017-tax-year.html</t>
  </si>
  <si>
    <t>Total Annually</t>
  </si>
  <si>
    <t xml:space="preserve">Cost of Private Vehicle, MBM 2018-base for rural NB, inflation adjusted </t>
  </si>
  <si>
    <t>Taxis back from college (limited evening transit)</t>
  </si>
  <si>
    <t>*based off CCPA report - $32.09/day</t>
  </si>
  <si>
    <t>-</t>
  </si>
  <si>
    <t>Low income tax reduction</t>
  </si>
  <si>
    <t>Federal working income credit</t>
  </si>
  <si>
    <t>Childcare tax credit calculation</t>
  </si>
  <si>
    <t>Notes:</t>
  </si>
  <si>
    <t>Source: https://www.canada.ca/en/revenue-agency/services/child-family-benefits/canada-workers-benefit/calculation-families-canada.html</t>
  </si>
  <si>
    <t>Parent 2 claimed</t>
  </si>
  <si>
    <t>Table IIa:  Last Year's Family Income (For Government Transfers )</t>
  </si>
  <si>
    <t>Using this years income</t>
  </si>
  <si>
    <t>from Table 4</t>
  </si>
  <si>
    <t>Medical Expenses Tax Credit -  Provincial</t>
  </si>
  <si>
    <t>Medical Expenses Tax Credit - Federal</t>
  </si>
  <si>
    <t>Childcare Expenses Tax Credit</t>
  </si>
  <si>
    <t>Federal Tuition Tax Credit</t>
  </si>
  <si>
    <t>Provincial Tuition Tax Credit</t>
  </si>
  <si>
    <t>Adjustments (Child Care Expenses)</t>
  </si>
  <si>
    <t>Household Expenses (60% of 'other")</t>
  </si>
  <si>
    <t>Social Inclusion (40% of 'other')</t>
  </si>
  <si>
    <t>Shelter Costs (Rent, Power and Internet)</t>
  </si>
  <si>
    <t>Gross Employment Income</t>
  </si>
  <si>
    <t>Installation Fee</t>
  </si>
  <si>
    <t>base threshold</t>
  </si>
  <si>
    <t>spouse, no children : payment</t>
  </si>
  <si>
    <t>In this sheet you can find all the programs values, thresholds and rates used in the calculation of the programs.</t>
  </si>
  <si>
    <t>For some programs a division was made explicitely to differentiated between the calculation of the first 6 months and the last 6 months.</t>
  </si>
  <si>
    <t xml:space="preserve">The formulas used to make the calculations are fixed, in the sense that if the calculation process changes, the formula will need to be changed. </t>
  </si>
  <si>
    <t>If you received an error, you did something wrong. Either you entered a bad rate, or the error will specify to what the problem is.</t>
  </si>
  <si>
    <t>threshold</t>
  </si>
  <si>
    <t>earned income threshold</t>
  </si>
  <si>
    <t>net income threshold</t>
  </si>
  <si>
    <t>1st threshold</t>
  </si>
  <si>
    <t>2nd threshold</t>
  </si>
  <si>
    <t>family net income threshold</t>
  </si>
  <si>
    <t>Source (2018-base MBM):</t>
  </si>
  <si>
    <t>Djidel, S., Gustajtis, B., Heisz, A., Lam, K., Marchand, I. and McDermott, S. (2020). Report on the second comprehensive review of the Market Basket Measure. (Ottawa: Statistics Canada). https://www150.statcan.gc.ca/n1/pub/75f0002m/75f0002m2020002-eng.pdf</t>
  </si>
  <si>
    <t>Source (2008-base MBM):</t>
  </si>
  <si>
    <t xml:space="preserve">Notes </t>
  </si>
  <si>
    <t>Independent Survey, October 2019</t>
  </si>
  <si>
    <t>Independent Survey, June 2020</t>
  </si>
  <si>
    <t>MBM 2018-Base, Other, Saint John, Adjust with CPI: All-items</t>
  </si>
  <si>
    <t xml:space="preserve">Rate from NBCC website, October 2019 </t>
  </si>
  <si>
    <t>Part-time fees: Student union=$5/course credit, tech fee=$15 per course credit</t>
  </si>
  <si>
    <t>Median rate - Independent Survey, October 2019</t>
  </si>
  <si>
    <t>Median rate - Independent survey, October 2019</t>
  </si>
  <si>
    <t>Tuition per credit (1 course 2 credit per semester, fall and winter)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</si>
</sst>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164" formatCode="&quot;$&quot;#,##0;[Red]\-&quot;$&quot;#,##0"/>
    <numFmt numFmtId="165" formatCode="&quot;$&quot;#,##0.00;[Red]\-&quot;$&quot;#,##0.00"/>
    <numFmt numFmtId="166" formatCode="_-&quot;$&quot;* #,##0.00_-;\-&quot;$&quot;* #,##0.00_-;_-&quot;$&quot;* &quot;-&quot;??_-;_-@_-"/>
    <numFmt numFmtId="167" formatCode="&quot;$&quot;#,##0.00"/>
    <numFmt numFmtId="168" formatCode="0.000"/>
    <numFmt numFmtId="169" formatCode="0.00000"/>
    <numFmt numFmtId="170" formatCode="&quot;$&quot;#,##0"/>
    <numFmt numFmtId="171" formatCode="0.0000"/>
  </numFmts>
  <fonts count="45">
    <font>
      <sz val="11"/>
      <color theme="1"/>
      <name val="Calibri"/>
      <family val="2"/>
      <scheme val="minor"/>
    </font>
    <font>
      <sz val="11"/>
      <color indexed="8"/>
      <name val="Calibri"/>
      <family val="2"/>
    </font>
    <font>
      <sz val="10"/>
      <name val="Arial"/>
      <family val="2"/>
    </font>
    <font>
      <b/>
      <sz val="10"/>
      <name val="Arial"/>
      <family val="2"/>
    </font>
    <font>
      <b/>
      <sz val="12"/>
      <name val="Arial"/>
      <family val="2"/>
    </font>
    <font>
      <sz val="10"/>
      <name val="Verdana"/>
      <family val="2"/>
    </font>
    <font>
      <sz val="11"/>
      <name val="Calibri"/>
      <family val="2"/>
    </font>
    <font>
      <sz val="11"/>
      <color rgb="FF006100"/>
      <name val="Calibri"/>
      <family val="2"/>
      <scheme val="minor"/>
    </font>
    <font>
      <b/>
      <sz val="15"/>
      <color theme="3"/>
      <name val="Calibri"/>
      <family val="2"/>
      <scheme val="minor"/>
    </font>
    <font>
      <b/>
      <sz val="13"/>
      <color theme="3"/>
      <name val="Calibri"/>
      <family val="2"/>
      <scheme val="minor"/>
    </font>
    <font>
      <sz val="11"/>
      <color rgb="FFFF0000"/>
      <name val="Calibri"/>
      <family val="2"/>
      <scheme val="minor"/>
    </font>
    <font>
      <sz val="11"/>
      <name val="Calibri"/>
      <family val="2"/>
      <scheme val="minor"/>
    </font>
    <font>
      <b/>
      <sz val="11"/>
      <color theme="1"/>
      <name val="Calibri"/>
      <family val="2"/>
      <scheme val="minor"/>
    </font>
    <font>
      <u/>
      <sz val="11"/>
      <color theme="10"/>
      <name val="Calibri"/>
      <family val="2"/>
      <scheme val="minor"/>
    </font>
    <font>
      <u/>
      <sz val="11"/>
      <color theme="11"/>
      <name val="Calibri"/>
      <family val="2"/>
      <scheme val="minor"/>
    </font>
    <font>
      <b/>
      <sz val="16"/>
      <color indexed="54"/>
      <name val="Calibri"/>
      <family val="2"/>
    </font>
    <font>
      <sz val="8"/>
      <name val="Arial"/>
      <family val="2"/>
    </font>
    <font>
      <sz val="11"/>
      <color rgb="FF9C0006"/>
      <name val="Calibri"/>
      <family val="2"/>
      <scheme val="minor"/>
    </font>
    <font>
      <sz val="11"/>
      <color rgb="FF3F3F76"/>
      <name val="Calibri"/>
      <family val="2"/>
      <scheme val="minor"/>
    </font>
    <font>
      <b/>
      <sz val="11"/>
      <color rgb="FFFA7D00"/>
      <name val="Calibri"/>
      <family val="2"/>
      <scheme val="minor"/>
    </font>
    <font>
      <sz val="11"/>
      <color rgb="FFFA7D00"/>
      <name val="Calibri"/>
      <family val="2"/>
      <scheme val="minor"/>
    </font>
    <font>
      <b/>
      <sz val="13"/>
      <color theme="1"/>
      <name val="Calibri"/>
      <family val="2"/>
      <scheme val="minor"/>
    </font>
    <font>
      <b/>
      <sz val="14"/>
      <color theme="1"/>
      <name val="Calibri"/>
      <family val="2"/>
      <scheme val="minor"/>
    </font>
    <font>
      <b/>
      <sz val="11"/>
      <color rgb="FF3F3F76"/>
      <name val="Calibri"/>
      <family val="2"/>
      <scheme val="minor"/>
    </font>
    <font>
      <b/>
      <sz val="10"/>
      <name val="Verdana"/>
      <family val="2"/>
    </font>
    <font>
      <u/>
      <sz val="10"/>
      <name val="Verdana"/>
      <family val="2"/>
    </font>
    <font>
      <u/>
      <sz val="11"/>
      <color theme="1"/>
      <name val="Calibri"/>
      <family val="2"/>
      <scheme val="minor"/>
    </font>
    <font>
      <b/>
      <u/>
      <sz val="12"/>
      <color theme="1"/>
      <name val="Calibri"/>
      <family val="2"/>
      <scheme val="minor"/>
    </font>
    <font>
      <b/>
      <sz val="12"/>
      <color theme="1"/>
      <name val="Calibri"/>
      <family val="2"/>
      <scheme val="minor"/>
    </font>
    <font>
      <b/>
      <sz val="14"/>
      <color rgb="FF3F3F76"/>
      <name val="Calibri"/>
      <family val="2"/>
      <scheme val="minor"/>
    </font>
    <font>
      <b/>
      <sz val="11"/>
      <name val="Calibri"/>
      <family val="2"/>
      <scheme val="minor"/>
    </font>
    <font>
      <b/>
      <sz val="9"/>
      <color rgb="FF000000"/>
      <name val="Tahoma"/>
      <family val="2"/>
    </font>
    <font>
      <sz val="9"/>
      <color rgb="FF000000"/>
      <name val="Tahoma"/>
      <family val="2"/>
    </font>
    <font>
      <b/>
      <sz val="9"/>
      <color rgb="FF000000"/>
      <name val="Calibri"/>
      <family val="2"/>
    </font>
    <font>
      <sz val="9"/>
      <color rgb="FF000000"/>
      <name val="Calibri"/>
      <family val="2"/>
    </font>
    <font>
      <b/>
      <u/>
      <sz val="11"/>
      <color theme="1"/>
      <name val="Calibri"/>
      <family val="2"/>
      <scheme val="minor"/>
    </font>
    <font>
      <sz val="11"/>
      <color theme="1"/>
      <name val="Calibri"/>
      <family val="2"/>
      <scheme val="minor"/>
    </font>
    <font>
      <sz val="11"/>
      <color rgb="FFFF0000"/>
      <name val="Calibri (Body)"/>
    </font>
    <font>
      <sz val="10"/>
      <color theme="1"/>
      <name val="Arial"/>
      <family val="2"/>
    </font>
    <font>
      <b/>
      <sz val="10"/>
      <color theme="1"/>
      <name val="Arial"/>
      <family val="2"/>
    </font>
    <font>
      <b/>
      <sz val="16"/>
      <name val="Arial"/>
      <family val="2"/>
    </font>
    <font>
      <u/>
      <sz val="11"/>
      <color theme="1"/>
      <name val="Calibri (Body)"/>
    </font>
    <font>
      <b/>
      <u/>
      <sz val="11"/>
      <color theme="1"/>
      <name val="Calibri (Body)"/>
    </font>
    <font>
      <sz val="10"/>
      <color theme="1"/>
      <name val="Verdana"/>
      <family val="2"/>
    </font>
    <font>
      <b/>
      <sz val="12"/>
      <color theme="1"/>
      <name val="Arial"/>
      <family val="2"/>
    </font>
  </fonts>
  <fills count="10">
    <fill>
      <patternFill patternType="none"/>
    </fill>
    <fill>
      <patternFill patternType="gray125"/>
    </fill>
    <fill>
      <patternFill patternType="solid">
        <fgColor rgb="FFC6EFCE"/>
      </patternFill>
    </fill>
    <fill>
      <patternFill patternType="solid">
        <fgColor theme="0"/>
        <bgColor indexed="64"/>
      </patternFill>
    </fill>
    <fill>
      <patternFill patternType="solid">
        <fgColor rgb="FFFFC7CE"/>
      </patternFill>
    </fill>
    <fill>
      <patternFill patternType="solid">
        <fgColor rgb="FFFFCC99"/>
      </patternFill>
    </fill>
    <fill>
      <patternFill patternType="solid">
        <fgColor rgb="FFF2F2F2"/>
      </patternFill>
    </fill>
    <fill>
      <patternFill patternType="solid">
        <fgColor rgb="FFD6F7EC"/>
        <bgColor indexed="64"/>
      </patternFill>
    </fill>
    <fill>
      <patternFill patternType="solid">
        <fgColor theme="7" tint="0.59999389629810485"/>
        <bgColor indexed="64"/>
      </patternFill>
    </fill>
    <fill>
      <patternFill patternType="solid">
        <fgColor theme="2"/>
        <bgColor indexed="64"/>
      </patternFill>
    </fill>
  </fills>
  <borders count="9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ck">
        <color theme="4"/>
      </bottom>
      <diagonal/>
    </border>
    <border>
      <left/>
      <right/>
      <top/>
      <bottom style="thick">
        <color theme="4" tint="0.499984740745262"/>
      </bottom>
      <diagonal/>
    </border>
    <border>
      <left style="thin">
        <color auto="1"/>
      </left>
      <right/>
      <top/>
      <bottom/>
      <diagonal/>
    </border>
    <border>
      <left/>
      <right/>
      <top style="thin">
        <color auto="1"/>
      </top>
      <bottom/>
      <diagonal/>
    </border>
    <border>
      <left/>
      <right style="thin">
        <color auto="1"/>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rgb="FF7F7F7F"/>
      </left>
      <right style="medium">
        <color auto="1"/>
      </right>
      <top style="thin">
        <color rgb="FF7F7F7F"/>
      </top>
      <bottom style="thin">
        <color rgb="FF7F7F7F"/>
      </bottom>
      <diagonal/>
    </border>
    <border>
      <left style="thin">
        <color rgb="FF7F7F7F"/>
      </left>
      <right style="medium">
        <color auto="1"/>
      </right>
      <top style="thin">
        <color rgb="FF7F7F7F"/>
      </top>
      <bottom/>
      <diagonal/>
    </border>
    <border>
      <left style="medium">
        <color auto="1"/>
      </left>
      <right/>
      <top style="thin">
        <color auto="1"/>
      </top>
      <bottom style="medium">
        <color auto="1"/>
      </bottom>
      <diagonal/>
    </border>
    <border>
      <left style="thin">
        <color rgb="FF7F7F7F"/>
      </left>
      <right style="medium">
        <color auto="1"/>
      </right>
      <top style="thin">
        <color auto="1"/>
      </top>
      <bottom style="medium">
        <color auto="1"/>
      </bottom>
      <diagonal/>
    </border>
    <border>
      <left style="medium">
        <color auto="1"/>
      </left>
      <right/>
      <top style="thin">
        <color auto="1"/>
      </top>
      <bottom/>
      <diagonal/>
    </border>
    <border>
      <left style="thin">
        <color rgb="FF7F7F7F"/>
      </left>
      <right style="medium">
        <color auto="1"/>
      </right>
      <top style="thin">
        <color auto="1"/>
      </top>
      <bottom style="thin">
        <color rgb="FF7F7F7F"/>
      </bottom>
      <diagonal/>
    </border>
    <border>
      <left style="thin">
        <color rgb="FF7F7F7F"/>
      </left>
      <right style="medium">
        <color auto="1"/>
      </right>
      <top style="thin">
        <color rgb="FF7F7F7F"/>
      </top>
      <bottom style="medium">
        <color auto="1"/>
      </bottom>
      <diagonal/>
    </border>
    <border>
      <left style="thin">
        <color rgb="FF7F7F7F"/>
      </left>
      <right style="thin">
        <color rgb="FF7F7F7F"/>
      </right>
      <top style="thin">
        <color rgb="FF7F7F7F"/>
      </top>
      <bottom style="medium">
        <color auto="1"/>
      </bottom>
      <diagonal/>
    </border>
    <border>
      <left style="medium">
        <color indexed="64"/>
      </left>
      <right/>
      <top style="medium">
        <color indexed="64"/>
      </top>
      <bottom style="thin">
        <color auto="1"/>
      </bottom>
      <diagonal/>
    </border>
    <border>
      <left style="medium">
        <color indexed="64"/>
      </left>
      <right style="thin">
        <color rgb="FF7F7F7F"/>
      </right>
      <top style="thin">
        <color rgb="FF7F7F7F"/>
      </top>
      <bottom style="thin">
        <color rgb="FF7F7F7F"/>
      </bottom>
      <diagonal/>
    </border>
    <border>
      <left style="medium">
        <color indexed="64"/>
      </left>
      <right style="thin">
        <color rgb="FF7F7F7F"/>
      </right>
      <top style="thin">
        <color rgb="FF7F7F7F"/>
      </top>
      <bottom style="medium">
        <color indexed="64"/>
      </bottom>
      <diagonal/>
    </border>
    <border>
      <left style="medium">
        <color indexed="64"/>
      </left>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right/>
      <top style="medium">
        <color indexed="64"/>
      </top>
      <bottom style="thin">
        <color auto="1"/>
      </bottom>
      <diagonal/>
    </border>
    <border>
      <left/>
      <right style="medium">
        <color indexed="64"/>
      </right>
      <top/>
      <bottom style="double">
        <color rgb="FFFF8001"/>
      </bottom>
      <diagonal/>
    </border>
    <border>
      <left/>
      <right/>
      <top style="thin">
        <color auto="1"/>
      </top>
      <bottom style="medium">
        <color indexed="64"/>
      </bottom>
      <diagonal/>
    </border>
    <border>
      <left/>
      <right style="thin">
        <color auto="1"/>
      </right>
      <top style="thin">
        <color auto="1"/>
      </top>
      <bottom style="medium">
        <color indexed="64"/>
      </bottom>
      <diagonal/>
    </border>
    <border>
      <left/>
      <right/>
      <top/>
      <bottom style="thin">
        <color theme="1"/>
      </bottom>
      <diagonal/>
    </border>
    <border>
      <left/>
      <right/>
      <top style="thin">
        <color theme="1"/>
      </top>
      <bottom/>
      <diagonal/>
    </border>
    <border>
      <left style="thin">
        <color auto="1"/>
      </left>
      <right style="medium">
        <color theme="1"/>
      </right>
      <top style="medium">
        <color theme="1"/>
      </top>
      <bottom style="thin">
        <color auto="1"/>
      </bottom>
      <diagonal/>
    </border>
    <border>
      <left style="medium">
        <color theme="1"/>
      </left>
      <right style="thin">
        <color auto="1"/>
      </right>
      <top style="thin">
        <color auto="1"/>
      </top>
      <bottom style="thin">
        <color auto="1"/>
      </bottom>
      <diagonal/>
    </border>
    <border>
      <left style="thin">
        <color auto="1"/>
      </left>
      <right style="medium">
        <color theme="1"/>
      </right>
      <top style="thin">
        <color auto="1"/>
      </top>
      <bottom style="thin">
        <color auto="1"/>
      </bottom>
      <diagonal/>
    </border>
    <border>
      <left style="medium">
        <color theme="1"/>
      </left>
      <right style="thin">
        <color auto="1"/>
      </right>
      <top style="thin">
        <color auto="1"/>
      </top>
      <bottom style="medium">
        <color theme="1"/>
      </bottom>
      <diagonal/>
    </border>
    <border>
      <left style="thin">
        <color auto="1"/>
      </left>
      <right style="medium">
        <color theme="1"/>
      </right>
      <top style="thin">
        <color auto="1"/>
      </top>
      <bottom style="medium">
        <color theme="1"/>
      </bottom>
      <diagonal/>
    </border>
    <border>
      <left style="medium">
        <color theme="1"/>
      </left>
      <right/>
      <top style="medium">
        <color theme="1"/>
      </top>
      <bottom style="thin">
        <color auto="1"/>
      </bottom>
      <diagonal/>
    </border>
    <border>
      <left/>
      <right style="medium">
        <color theme="1"/>
      </right>
      <top style="medium">
        <color theme="1"/>
      </top>
      <bottom style="thin">
        <color auto="1"/>
      </bottom>
      <diagonal/>
    </border>
    <border>
      <left style="medium">
        <color theme="1"/>
      </left>
      <right/>
      <top style="thin">
        <color auto="1"/>
      </top>
      <bottom style="thin">
        <color auto="1"/>
      </bottom>
      <diagonal/>
    </border>
    <border>
      <left/>
      <right style="medium">
        <color theme="1"/>
      </right>
      <top style="thin">
        <color auto="1"/>
      </top>
      <bottom style="thin">
        <color auto="1"/>
      </bottom>
      <diagonal/>
    </border>
    <border>
      <left style="thin">
        <color theme="1"/>
      </left>
      <right style="thin">
        <color theme="1"/>
      </right>
      <top style="thin">
        <color theme="1"/>
      </top>
      <bottom style="thin">
        <color theme="1"/>
      </bottom>
      <diagonal/>
    </border>
    <border>
      <left style="medium">
        <color theme="1"/>
      </left>
      <right style="thin">
        <color theme="1"/>
      </right>
      <top style="medium">
        <color theme="1"/>
      </top>
      <bottom style="thin">
        <color theme="1"/>
      </bottom>
      <diagonal/>
    </border>
    <border>
      <left style="medium">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style="medium">
        <color theme="1"/>
      </left>
      <right/>
      <top/>
      <bottom style="medium">
        <color theme="1"/>
      </bottom>
      <diagonal/>
    </border>
    <border>
      <left/>
      <right style="medium">
        <color theme="1"/>
      </right>
      <top/>
      <bottom style="medium">
        <color theme="1"/>
      </bottom>
      <diagonal/>
    </border>
    <border>
      <left style="medium">
        <color theme="1"/>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right/>
      <top style="medium">
        <color theme="1"/>
      </top>
      <bottom/>
      <diagonal/>
    </border>
    <border>
      <left/>
      <right/>
      <top/>
      <bottom style="medium">
        <color theme="1"/>
      </bottom>
      <diagonal/>
    </border>
    <border>
      <left/>
      <right/>
      <top style="medium">
        <color theme="1"/>
      </top>
      <bottom style="thin">
        <color auto="1"/>
      </bottom>
      <diagonal/>
    </border>
    <border>
      <left style="medium">
        <color theme="1"/>
      </left>
      <right/>
      <top style="thin">
        <color auto="1"/>
      </top>
      <bottom/>
      <diagonal/>
    </border>
    <border>
      <left/>
      <right style="medium">
        <color theme="1"/>
      </right>
      <top style="thin">
        <color auto="1"/>
      </top>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right/>
      <top style="medium">
        <color theme="1"/>
      </top>
      <bottom style="thin">
        <color theme="1"/>
      </bottom>
      <diagonal/>
    </border>
    <border>
      <left/>
      <right style="medium">
        <color theme="1"/>
      </right>
      <top style="medium">
        <color theme="1"/>
      </top>
      <bottom style="thin">
        <color theme="1"/>
      </bottom>
      <diagonal/>
    </border>
    <border>
      <left style="medium">
        <color theme="1"/>
      </left>
      <right style="thin">
        <color theme="1"/>
      </right>
      <top style="thin">
        <color theme="1"/>
      </top>
      <bottom/>
      <diagonal/>
    </border>
    <border>
      <left/>
      <right style="medium">
        <color theme="1"/>
      </right>
      <top style="thin">
        <color theme="1"/>
      </top>
      <bottom/>
      <diagonal/>
    </border>
    <border>
      <left style="medium">
        <color theme="1"/>
      </left>
      <right style="thin">
        <color theme="1"/>
      </right>
      <top/>
      <bottom/>
      <diagonal/>
    </border>
    <border>
      <left style="medium">
        <color theme="1"/>
      </left>
      <right style="thin">
        <color theme="1"/>
      </right>
      <top/>
      <bottom style="thin">
        <color theme="1"/>
      </bottom>
      <diagonal/>
    </border>
    <border>
      <left/>
      <right style="medium">
        <color theme="1"/>
      </right>
      <top/>
      <bottom style="thin">
        <color theme="1"/>
      </bottom>
      <diagonal/>
    </border>
    <border>
      <left style="medium">
        <color theme="1"/>
      </left>
      <right style="thin">
        <color theme="1"/>
      </right>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thin">
        <color theme="1"/>
      </left>
      <right style="thin">
        <color theme="1"/>
      </right>
      <top style="thin">
        <color theme="1"/>
      </top>
      <bottom style="medium">
        <color theme="1"/>
      </bottom>
      <diagonal/>
    </border>
    <border>
      <left style="medium">
        <color theme="1"/>
      </left>
      <right style="thin">
        <color theme="1"/>
      </right>
      <top style="medium">
        <color theme="1"/>
      </top>
      <bottom style="medium">
        <color theme="1"/>
      </bottom>
      <diagonal/>
    </border>
    <border>
      <left style="thin">
        <color theme="1"/>
      </left>
      <right style="thin">
        <color theme="1"/>
      </right>
      <top style="medium">
        <color theme="1"/>
      </top>
      <bottom style="medium">
        <color theme="1"/>
      </bottom>
      <diagonal/>
    </border>
    <border>
      <left style="thin">
        <color theme="1"/>
      </left>
      <right style="medium">
        <color theme="1"/>
      </right>
      <top style="medium">
        <color theme="1"/>
      </top>
      <bottom style="medium">
        <color theme="1"/>
      </bottom>
      <diagonal/>
    </border>
    <border>
      <left style="thin">
        <color theme="1"/>
      </left>
      <right style="medium">
        <color theme="1"/>
      </right>
      <top/>
      <bottom style="thin">
        <color theme="1"/>
      </bottom>
      <diagonal/>
    </border>
    <border>
      <left style="thin">
        <color theme="1"/>
      </left>
      <right style="medium">
        <color theme="1"/>
      </right>
      <top style="thin">
        <color theme="1"/>
      </top>
      <bottom/>
      <diagonal/>
    </border>
    <border>
      <left style="thin">
        <color rgb="FF7F7F7F"/>
      </left>
      <right style="medium">
        <color theme="1"/>
      </right>
      <top style="thin">
        <color rgb="FF7F7F7F"/>
      </top>
      <bottom style="thin">
        <color rgb="FF7F7F7F"/>
      </bottom>
      <diagonal/>
    </border>
    <border>
      <left style="thin">
        <color rgb="FF7F7F7F"/>
      </left>
      <right style="medium">
        <color theme="1"/>
      </right>
      <top style="thin">
        <color rgb="FF7F7F7F"/>
      </top>
      <bottom style="medium">
        <color theme="1"/>
      </bottom>
      <diagonal/>
    </border>
    <border>
      <left style="medium">
        <color theme="1"/>
      </left>
      <right/>
      <top style="thin">
        <color auto="1"/>
      </top>
      <bottom style="medium">
        <color theme="1"/>
      </bottom>
      <diagonal/>
    </border>
    <border>
      <left/>
      <right/>
      <top style="thin">
        <color auto="1"/>
      </top>
      <bottom style="medium">
        <color theme="1"/>
      </bottom>
      <diagonal/>
    </border>
    <border>
      <left/>
      <right style="thin">
        <color auto="1"/>
      </right>
      <top style="thin">
        <color auto="1"/>
      </top>
      <bottom style="medium">
        <color theme="1"/>
      </bottom>
      <diagonal/>
    </border>
    <border>
      <left style="thin">
        <color auto="1"/>
      </left>
      <right style="thin">
        <color auto="1"/>
      </right>
      <top style="medium">
        <color theme="1"/>
      </top>
      <bottom style="thin">
        <color auto="1"/>
      </bottom>
      <diagonal/>
    </border>
    <border>
      <left style="thin">
        <color auto="1"/>
      </left>
      <right style="thin">
        <color auto="1"/>
      </right>
      <top style="thin">
        <color auto="1"/>
      </top>
      <bottom style="medium">
        <color theme="1"/>
      </bottom>
      <diagonal/>
    </border>
  </borders>
  <cellStyleXfs count="34">
    <xf numFmtId="0" fontId="0" fillId="0" borderId="0"/>
    <xf numFmtId="166" fontId="1" fillId="0" borderId="0" applyFont="0" applyFill="0" applyBorder="0" applyAlignment="0" applyProtection="0"/>
    <xf numFmtId="0" fontId="7" fillId="2" borderId="0" applyNumberFormat="0" applyBorder="0" applyAlignment="0" applyProtection="0"/>
    <xf numFmtId="0" fontId="8" fillId="0" borderId="4" applyNumberFormat="0" applyFill="0" applyAlignment="0" applyProtection="0"/>
    <xf numFmtId="0" fontId="9" fillId="0" borderId="5" applyNumberFormat="0" applyFill="0" applyAlignment="0" applyProtection="0"/>
    <xf numFmtId="9" fontId="1" fillId="0" borderId="0" applyFont="0" applyFill="0" applyBorder="0" applyAlignment="0" applyProtection="0"/>
    <xf numFmtId="0" fontId="10"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7" fillId="4" borderId="0" applyNumberFormat="0" applyBorder="0" applyAlignment="0" applyProtection="0"/>
    <xf numFmtId="0" fontId="18" fillId="5" borderId="9" applyNumberFormat="0" applyAlignment="0" applyProtection="0"/>
    <xf numFmtId="0" fontId="19" fillId="6" borderId="9" applyNumberFormat="0" applyAlignment="0" applyProtection="0"/>
    <xf numFmtId="0" fontId="20" fillId="0" borderId="10" applyNumberFormat="0" applyFill="0" applyAlignment="0" applyProtection="0"/>
    <xf numFmtId="0" fontId="13" fillId="0" borderId="0" applyNumberFormat="0" applyFill="0" applyBorder="0" applyAlignment="0" applyProtection="0"/>
  </cellStyleXfs>
  <cellXfs count="473">
    <xf numFmtId="0" fontId="0" fillId="0" borderId="0" xfId="0"/>
    <xf numFmtId="0" fontId="2" fillId="0" borderId="0" xfId="0" applyFont="1" applyFill="1"/>
    <xf numFmtId="2" fontId="2" fillId="0" borderId="0" xfId="0" applyNumberFormat="1" applyFont="1" applyFill="1"/>
    <xf numFmtId="2" fontId="3" fillId="0" borderId="0" xfId="0" applyNumberFormat="1" applyFont="1" applyFill="1"/>
    <xf numFmtId="0" fontId="3" fillId="0" borderId="0" xfId="0" applyFont="1" applyFill="1"/>
    <xf numFmtId="0" fontId="2" fillId="0" borderId="0" xfId="0" applyFont="1" applyFill="1" applyBorder="1"/>
    <xf numFmtId="0" fontId="3" fillId="0" borderId="0" xfId="0" applyFont="1" applyFill="1" applyBorder="1" applyAlignment="1">
      <alignment horizontal="center"/>
    </xf>
    <xf numFmtId="0" fontId="3" fillId="0" borderId="0" xfId="0" applyFont="1" applyFill="1" applyAlignment="1">
      <alignment horizontal="center"/>
    </xf>
    <xf numFmtId="0" fontId="3" fillId="0" borderId="0" xfId="0" applyFont="1" applyFill="1" applyBorder="1" applyAlignment="1">
      <alignment horizontal="right"/>
    </xf>
    <xf numFmtId="0" fontId="0" fillId="0" borderId="0" xfId="0" applyFill="1"/>
    <xf numFmtId="0" fontId="2" fillId="0" borderId="0" xfId="0" applyFont="1" applyFill="1" applyBorder="1" applyAlignment="1">
      <alignment horizontal="right"/>
    </xf>
    <xf numFmtId="0" fontId="2" fillId="0" borderId="0" xfId="0" applyFont="1" applyFill="1" applyAlignment="1">
      <alignment horizontal="left"/>
    </xf>
    <xf numFmtId="168" fontId="2" fillId="0" borderId="0" xfId="0" applyNumberFormat="1" applyFont="1" applyFill="1" applyBorder="1" applyAlignment="1">
      <alignment horizontal="right"/>
    </xf>
    <xf numFmtId="0" fontId="2" fillId="0" borderId="0" xfId="0" applyFont="1" applyFill="1" applyBorder="1" applyAlignment="1">
      <alignment horizontal="center" vertical="center" wrapText="1"/>
    </xf>
    <xf numFmtId="168" fontId="2" fillId="0" borderId="0" xfId="0" applyNumberFormat="1" applyFont="1" applyFill="1" applyBorder="1" applyAlignment="1">
      <alignment horizontal="left"/>
    </xf>
    <xf numFmtId="2" fontId="2" fillId="0" borderId="0" xfId="0" applyNumberFormat="1" applyFont="1" applyFill="1" applyBorder="1"/>
    <xf numFmtId="2" fontId="3" fillId="0" borderId="0" xfId="0" applyNumberFormat="1" applyFont="1" applyFill="1" applyBorder="1" applyAlignment="1">
      <alignment horizontal="center"/>
    </xf>
    <xf numFmtId="0" fontId="3" fillId="0" borderId="0" xfId="0" applyFont="1" applyFill="1" applyBorder="1" applyAlignment="1">
      <alignment horizontal="left"/>
    </xf>
    <xf numFmtId="0" fontId="2" fillId="0" borderId="0" xfId="0" applyFont="1" applyFill="1" applyBorder="1" applyAlignment="1">
      <alignment horizontal="center"/>
    </xf>
    <xf numFmtId="2" fontId="9" fillId="0" borderId="0" xfId="4" applyNumberFormat="1" applyFill="1" applyBorder="1" applyAlignment="1">
      <alignment horizontal="left"/>
    </xf>
    <xf numFmtId="0" fontId="0" fillId="0" borderId="1" xfId="0" applyBorder="1"/>
    <xf numFmtId="167" fontId="0" fillId="0" borderId="0" xfId="0" applyNumberFormat="1"/>
    <xf numFmtId="0" fontId="12" fillId="0" borderId="1" xfId="0" applyFont="1" applyBorder="1"/>
    <xf numFmtId="167" fontId="0" fillId="0" borderId="1" xfId="0" applyNumberFormat="1" applyBorder="1"/>
    <xf numFmtId="0" fontId="4" fillId="0" borderId="0" xfId="0" applyFont="1" applyFill="1"/>
    <xf numFmtId="0" fontId="0" fillId="0" borderId="0" xfId="0"/>
    <xf numFmtId="0" fontId="12" fillId="0" borderId="0" xfId="0" applyFont="1"/>
    <xf numFmtId="0" fontId="0" fillId="0" borderId="0" xfId="0" applyNumberFormat="1"/>
    <xf numFmtId="0" fontId="0" fillId="0" borderId="0" xfId="0" applyAlignment="1">
      <alignment wrapText="1"/>
    </xf>
    <xf numFmtId="0" fontId="11" fillId="0" borderId="0" xfId="0" applyFont="1" applyFill="1" applyAlignment="1">
      <alignment horizontal="left"/>
    </xf>
    <xf numFmtId="0" fontId="11" fillId="0" borderId="0" xfId="6" applyFont="1" applyFill="1" applyAlignment="1">
      <alignment horizontal="left"/>
    </xf>
    <xf numFmtId="0" fontId="4" fillId="0" borderId="0" xfId="0" applyFont="1"/>
    <xf numFmtId="0" fontId="9" fillId="0" borderId="0" xfId="4" applyFill="1" applyBorder="1" applyAlignment="1">
      <alignment horizontal="left"/>
    </xf>
    <xf numFmtId="167" fontId="0" fillId="0" borderId="1" xfId="1" applyNumberFormat="1" applyFont="1" applyBorder="1"/>
    <xf numFmtId="167" fontId="2"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2" fillId="0" borderId="0" xfId="0" applyNumberFormat="1" applyFont="1" applyFill="1" applyAlignment="1">
      <alignment horizontal="right" vertical="center"/>
    </xf>
    <xf numFmtId="0" fontId="0" fillId="0" borderId="0" xfId="0" applyBorder="1"/>
    <xf numFmtId="1" fontId="0" fillId="0" borderId="1" xfId="0" applyNumberFormat="1" applyBorder="1"/>
    <xf numFmtId="167" fontId="0" fillId="0" borderId="0" xfId="0" applyNumberFormat="1" applyBorder="1"/>
    <xf numFmtId="0" fontId="12" fillId="0" borderId="0" xfId="0" applyFont="1" applyBorder="1"/>
    <xf numFmtId="0" fontId="3" fillId="0" borderId="0" xfId="0" applyFont="1" applyFill="1" applyAlignment="1"/>
    <xf numFmtId="164" fontId="0" fillId="0" borderId="0" xfId="0" applyNumberFormat="1" applyBorder="1" applyAlignment="1">
      <alignment wrapText="1"/>
    </xf>
    <xf numFmtId="168" fontId="0" fillId="0" borderId="0" xfId="0" applyNumberFormat="1" applyFill="1" applyAlignment="1">
      <alignment horizontal="right" vertical="center"/>
    </xf>
    <xf numFmtId="168" fontId="0" fillId="0" borderId="0" xfId="0" applyNumberFormat="1"/>
    <xf numFmtId="2" fontId="0" fillId="0" borderId="0" xfId="0" applyNumberFormat="1"/>
    <xf numFmtId="0" fontId="0" fillId="0" borderId="0" xfId="0" applyFill="1" applyBorder="1" applyAlignment="1">
      <alignment horizontal="right"/>
    </xf>
    <xf numFmtId="164" fontId="0" fillId="0" borderId="0" xfId="0" applyNumberFormat="1" applyFill="1" applyBorder="1" applyAlignment="1">
      <alignment wrapText="1"/>
    </xf>
    <xf numFmtId="0" fontId="2" fillId="0" borderId="0" xfId="0" applyFont="1" applyFill="1" applyBorder="1" applyAlignment="1">
      <alignment horizontal="left"/>
    </xf>
    <xf numFmtId="170" fontId="0" fillId="0" borderId="7" xfId="0" applyNumberFormat="1" applyBorder="1"/>
    <xf numFmtId="167" fontId="0" fillId="0" borderId="7" xfId="0" applyNumberFormat="1" applyBorder="1" applyAlignment="1">
      <alignment horizontal="right"/>
    </xf>
    <xf numFmtId="165" fontId="0" fillId="0" borderId="0" xfId="0" applyNumberFormat="1" applyBorder="1" applyAlignment="1">
      <alignment horizontal="right" wrapText="1"/>
    </xf>
    <xf numFmtId="165" fontId="0" fillId="0" borderId="0" xfId="0" applyNumberFormat="1" applyFill="1" applyBorder="1" applyAlignment="1">
      <alignment horizontal="right" wrapText="1"/>
    </xf>
    <xf numFmtId="167" fontId="2" fillId="0" borderId="0" xfId="0" applyNumberFormat="1" applyFont="1" applyFill="1" applyBorder="1" applyAlignment="1">
      <alignment horizontal="left" vertical="center"/>
    </xf>
    <xf numFmtId="0" fontId="0" fillId="0" borderId="0" xfId="0" applyBorder="1" applyAlignment="1"/>
    <xf numFmtId="0" fontId="0" fillId="0" borderId="0" xfId="0" applyAlignment="1"/>
    <xf numFmtId="2" fontId="21" fillId="0" borderId="0" xfId="4" applyNumberFormat="1" applyFont="1" applyFill="1" applyBorder="1" applyAlignment="1">
      <alignment horizontal="left"/>
    </xf>
    <xf numFmtId="0" fontId="12" fillId="0" borderId="11" xfId="0" applyFont="1" applyBorder="1"/>
    <xf numFmtId="0" fontId="12" fillId="0" borderId="12" xfId="0" applyFont="1" applyBorder="1"/>
    <xf numFmtId="0" fontId="12" fillId="0" borderId="13" xfId="0" applyFont="1"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12" fillId="0" borderId="14" xfId="0" applyFont="1" applyBorder="1"/>
    <xf numFmtId="0" fontId="12" fillId="0" borderId="16" xfId="0" applyFont="1" applyBorder="1"/>
    <xf numFmtId="0" fontId="5" fillId="0" borderId="14" xfId="0" applyFont="1" applyFill="1" applyBorder="1"/>
    <xf numFmtId="0" fontId="5" fillId="0" borderId="21" xfId="0" applyFont="1" applyFill="1" applyBorder="1"/>
    <xf numFmtId="0" fontId="0" fillId="0" borderId="14" xfId="0" applyBorder="1" applyAlignment="1">
      <alignment horizontal="left" indent="2"/>
    </xf>
    <xf numFmtId="0" fontId="26" fillId="0" borderId="14" xfId="0" applyFont="1" applyBorder="1"/>
    <xf numFmtId="10" fontId="0" fillId="0" borderId="15" xfId="0" applyNumberFormat="1" applyBorder="1"/>
    <xf numFmtId="0" fontId="0" fillId="0" borderId="23" xfId="0" applyFill="1" applyBorder="1" applyAlignment="1">
      <alignment horizontal="left"/>
    </xf>
    <xf numFmtId="0" fontId="0" fillId="0" borderId="14" xfId="0" applyFill="1" applyBorder="1" applyAlignment="1">
      <alignment horizontal="left"/>
    </xf>
    <xf numFmtId="0" fontId="19" fillId="6" borderId="25" xfId="31" applyBorder="1"/>
    <xf numFmtId="0" fontId="26" fillId="0" borderId="11" xfId="0" applyFont="1" applyBorder="1"/>
    <xf numFmtId="0" fontId="0" fillId="0" borderId="12" xfId="0" applyBorder="1"/>
    <xf numFmtId="0" fontId="0" fillId="0" borderId="13" xfId="0" applyBorder="1"/>
    <xf numFmtId="0" fontId="0" fillId="0" borderId="16" xfId="0" applyFill="1" applyBorder="1"/>
    <xf numFmtId="0" fontId="0" fillId="0" borderId="0" xfId="0" applyFont="1" applyBorder="1" applyAlignment="1">
      <alignment wrapText="1"/>
    </xf>
    <xf numFmtId="10" fontId="0" fillId="0" borderId="0" xfId="0" applyNumberFormat="1"/>
    <xf numFmtId="44" fontId="0" fillId="0" borderId="0" xfId="0" applyNumberFormat="1"/>
    <xf numFmtId="44" fontId="12" fillId="0" borderId="0" xfId="0" applyNumberFormat="1" applyFont="1" applyBorder="1" applyAlignment="1"/>
    <xf numFmtId="0" fontId="12" fillId="0" borderId="31" xfId="0" applyFont="1" applyBorder="1" applyAlignment="1"/>
    <xf numFmtId="0" fontId="12" fillId="0" borderId="32" xfId="0" applyFont="1" applyBorder="1" applyAlignment="1"/>
    <xf numFmtId="0" fontId="12" fillId="0" borderId="33" xfId="0" applyFont="1" applyBorder="1" applyAlignment="1"/>
    <xf numFmtId="0" fontId="12" fillId="0" borderId="0" xfId="0" applyFont="1" applyFill="1" applyBorder="1" applyAlignment="1">
      <alignment horizontal="left"/>
    </xf>
    <xf numFmtId="0" fontId="12" fillId="3" borderId="14" xfId="0" applyFont="1" applyFill="1" applyBorder="1" applyAlignment="1"/>
    <xf numFmtId="0" fontId="12" fillId="3" borderId="0" xfId="0" applyFont="1" applyFill="1" applyBorder="1" applyAlignment="1"/>
    <xf numFmtId="0" fontId="35" fillId="0" borderId="0" xfId="0" applyFont="1"/>
    <xf numFmtId="0" fontId="0" fillId="0" borderId="0" xfId="0" applyFill="1" applyBorder="1"/>
    <xf numFmtId="17" fontId="36" fillId="0" borderId="0" xfId="33" applyNumberFormat="1" applyFont="1" applyFill="1"/>
    <xf numFmtId="167" fontId="11" fillId="0" borderId="0" xfId="0" applyNumberFormat="1" applyFont="1" applyFill="1"/>
    <xf numFmtId="167" fontId="30" fillId="0" borderId="0" xfId="0" applyNumberFormat="1" applyFont="1" applyFill="1" applyBorder="1" applyAlignment="1">
      <alignment horizontal="right" vertical="center"/>
    </xf>
    <xf numFmtId="0" fontId="12" fillId="3" borderId="15" xfId="0" applyFont="1" applyFill="1" applyBorder="1" applyAlignment="1"/>
    <xf numFmtId="0" fontId="12" fillId="7" borderId="16" xfId="0" applyFont="1" applyFill="1" applyBorder="1" applyAlignment="1"/>
    <xf numFmtId="0" fontId="12" fillId="7" borderId="17" xfId="0" applyFont="1" applyFill="1" applyBorder="1" applyAlignment="1"/>
    <xf numFmtId="44" fontId="12" fillId="7" borderId="17" xfId="0" applyNumberFormat="1" applyFont="1" applyFill="1" applyBorder="1" applyAlignment="1"/>
    <xf numFmtId="44" fontId="12" fillId="7" borderId="18" xfId="0" applyNumberFormat="1" applyFont="1" applyFill="1" applyBorder="1"/>
    <xf numFmtId="10" fontId="18" fillId="7" borderId="19" xfId="30" applyNumberFormat="1" applyFill="1" applyBorder="1"/>
    <xf numFmtId="10" fontId="18" fillId="7" borderId="20" xfId="30" applyNumberFormat="1" applyFill="1" applyBorder="1"/>
    <xf numFmtId="0" fontId="18" fillId="7" borderId="19" xfId="30" applyFill="1" applyBorder="1"/>
    <xf numFmtId="9" fontId="18" fillId="7" borderId="20" xfId="30" applyNumberFormat="1" applyFill="1" applyBorder="1"/>
    <xf numFmtId="0" fontId="30" fillId="7" borderId="22" xfId="31" applyFont="1" applyFill="1" applyBorder="1"/>
    <xf numFmtId="0" fontId="18" fillId="7" borderId="15" xfId="30" applyFill="1" applyBorder="1"/>
    <xf numFmtId="9" fontId="18" fillId="7" borderId="15" xfId="30" applyNumberFormat="1" applyFill="1" applyBorder="1"/>
    <xf numFmtId="9" fontId="18" fillId="7" borderId="19" xfId="30" applyNumberFormat="1" applyFill="1" applyBorder="1"/>
    <xf numFmtId="0" fontId="18" fillId="7" borderId="20" xfId="30" applyFill="1" applyBorder="1"/>
    <xf numFmtId="4" fontId="30" fillId="6" borderId="24" xfId="31" applyNumberFormat="1" applyFont="1" applyBorder="1"/>
    <xf numFmtId="4" fontId="30" fillId="6" borderId="20" xfId="31" applyNumberFormat="1" applyFont="1" applyBorder="1"/>
    <xf numFmtId="4" fontId="30" fillId="6" borderId="19" xfId="31" applyNumberFormat="1" applyFont="1" applyBorder="1"/>
    <xf numFmtId="4" fontId="30" fillId="6" borderId="25" xfId="31" applyNumberFormat="1" applyFont="1" applyBorder="1"/>
    <xf numFmtId="0" fontId="30" fillId="7" borderId="25" xfId="31" applyFont="1" applyFill="1" applyBorder="1"/>
    <xf numFmtId="10" fontId="23" fillId="7" borderId="9" xfId="30" applyNumberFormat="1" applyFont="1" applyFill="1" applyBorder="1"/>
    <xf numFmtId="0" fontId="23" fillId="7" borderId="9" xfId="30" applyFont="1" applyFill="1" applyBorder="1"/>
    <xf numFmtId="0" fontId="12" fillId="7" borderId="26" xfId="31" applyFont="1" applyFill="1" applyBorder="1"/>
    <xf numFmtId="0" fontId="12" fillId="7" borderId="25" xfId="31" applyFont="1" applyFill="1" applyBorder="1"/>
    <xf numFmtId="0" fontId="23" fillId="7" borderId="28" xfId="30" applyFont="1" applyFill="1" applyBorder="1"/>
    <xf numFmtId="10" fontId="23" fillId="7" borderId="19" xfId="30" applyNumberFormat="1" applyFont="1" applyFill="1" applyBorder="1"/>
    <xf numFmtId="0" fontId="18" fillId="7" borderId="28" xfId="30" applyFill="1" applyBorder="1"/>
    <xf numFmtId="0" fontId="18" fillId="7" borderId="9" xfId="30" applyFill="1" applyBorder="1"/>
    <xf numFmtId="0" fontId="18" fillId="7" borderId="29" xfId="30" applyFill="1" applyBorder="1"/>
    <xf numFmtId="0" fontId="18" fillId="7" borderId="26" xfId="30" applyFill="1" applyBorder="1"/>
    <xf numFmtId="10" fontId="18" fillId="7" borderId="25" xfId="30" applyNumberFormat="1" applyFill="1" applyBorder="1"/>
    <xf numFmtId="3" fontId="23" fillId="7" borderId="9" xfId="30" applyNumberFormat="1" applyFont="1" applyFill="1" applyBorder="1"/>
    <xf numFmtId="3" fontId="18" fillId="7" borderId="28" xfId="30" applyNumberFormat="1" applyFill="1" applyBorder="1"/>
    <xf numFmtId="0" fontId="23" fillId="7" borderId="19" xfId="30" applyFont="1" applyFill="1" applyBorder="1"/>
    <xf numFmtId="9" fontId="23" fillId="7" borderId="19" xfId="30" applyNumberFormat="1" applyFont="1" applyFill="1" applyBorder="1"/>
    <xf numFmtId="9" fontId="23" fillId="7" borderId="9" xfId="30" applyNumberFormat="1" applyFont="1" applyFill="1" applyBorder="1"/>
    <xf numFmtId="167" fontId="20" fillId="0" borderId="38" xfId="32" applyNumberFormat="1" applyFill="1" applyBorder="1"/>
    <xf numFmtId="0" fontId="12" fillId="0" borderId="35" xfId="0" applyFont="1" applyBorder="1"/>
    <xf numFmtId="167" fontId="0" fillId="0" borderId="35" xfId="0" applyNumberFormat="1" applyBorder="1"/>
    <xf numFmtId="167" fontId="0" fillId="0" borderId="36" xfId="0" applyNumberFormat="1" applyBorder="1"/>
    <xf numFmtId="0" fontId="12" fillId="7" borderId="31" xfId="0" applyFont="1" applyFill="1" applyBorder="1" applyAlignment="1"/>
    <xf numFmtId="0" fontId="12" fillId="7" borderId="32" xfId="0" applyFont="1" applyFill="1" applyBorder="1" applyAlignment="1"/>
    <xf numFmtId="44" fontId="12" fillId="7" borderId="32" xfId="0" applyNumberFormat="1" applyFont="1" applyFill="1" applyBorder="1"/>
    <xf numFmtId="44" fontId="12" fillId="7" borderId="33" xfId="0" applyNumberFormat="1" applyFont="1" applyFill="1" applyBorder="1"/>
    <xf numFmtId="1" fontId="23" fillId="7" borderId="25" xfId="30" applyNumberFormat="1" applyFont="1" applyFill="1" applyBorder="1"/>
    <xf numFmtId="0" fontId="2" fillId="0" borderId="0" xfId="0" applyFont="1" applyBorder="1" applyAlignment="1">
      <alignment horizontal="left"/>
    </xf>
    <xf numFmtId="167" fontId="11" fillId="0" borderId="0" xfId="0" applyNumberFormat="1" applyFont="1" applyBorder="1" applyAlignment="1">
      <alignment horizontal="right" vertical="center"/>
    </xf>
    <xf numFmtId="0" fontId="10" fillId="0" borderId="0" xfId="0" applyFont="1"/>
    <xf numFmtId="0" fontId="37" fillId="0" borderId="0" xfId="0" applyFont="1"/>
    <xf numFmtId="0" fontId="13" fillId="0" borderId="0" xfId="33"/>
    <xf numFmtId="0" fontId="0" fillId="0" borderId="30" xfId="0" applyBorder="1" applyAlignment="1">
      <alignment horizontal="left"/>
    </xf>
    <xf numFmtId="0" fontId="0" fillId="0" borderId="2" xfId="0" applyBorder="1" applyAlignment="1">
      <alignment horizontal="left"/>
    </xf>
    <xf numFmtId="0" fontId="0" fillId="0" borderId="30"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25" fillId="0" borderId="14" xfId="0" applyFont="1" applyBorder="1"/>
    <xf numFmtId="0" fontId="5" fillId="0" borderId="14" xfId="0" applyFont="1" applyBorder="1" applyAlignment="1">
      <alignment horizontal="left" indent="2"/>
    </xf>
    <xf numFmtId="3" fontId="36" fillId="7" borderId="19" xfId="30" applyNumberFormat="1" applyFont="1" applyFill="1" applyBorder="1"/>
    <xf numFmtId="0" fontId="36" fillId="7" borderId="15" xfId="0" applyFont="1" applyFill="1" applyBorder="1"/>
    <xf numFmtId="0" fontId="35" fillId="0" borderId="1" xfId="0" applyFont="1" applyBorder="1" applyAlignment="1">
      <alignment horizontal="center"/>
    </xf>
    <xf numFmtId="0" fontId="12" fillId="0" borderId="1" xfId="0" applyFont="1" applyBorder="1" applyAlignment="1">
      <alignment horizontal="center"/>
    </xf>
    <xf numFmtId="0" fontId="18" fillId="7" borderId="1" xfId="30" applyFill="1" applyBorder="1"/>
    <xf numFmtId="9" fontId="18" fillId="7" borderId="1" xfId="30" applyNumberFormat="1" applyFill="1" applyBorder="1"/>
    <xf numFmtId="0" fontId="30" fillId="7" borderId="1" xfId="31" applyFont="1" applyFill="1" applyBorder="1"/>
    <xf numFmtId="0" fontId="0" fillId="0" borderId="1" xfId="0" applyFill="1" applyBorder="1"/>
    <xf numFmtId="0" fontId="11" fillId="0" borderId="0" xfId="6" applyFont="1" applyFill="1" applyBorder="1" applyAlignment="1">
      <alignment horizontal="left"/>
    </xf>
    <xf numFmtId="166" fontId="3" fillId="0" borderId="0" xfId="0" applyNumberFormat="1" applyFont="1" applyFill="1" applyBorder="1" applyAlignment="1">
      <alignment horizontal="left"/>
    </xf>
    <xf numFmtId="0" fontId="3" fillId="0" borderId="58" xfId="0" applyFont="1" applyFill="1" applyBorder="1" applyAlignment="1">
      <alignment horizontal="left"/>
    </xf>
    <xf numFmtId="0" fontId="2" fillId="0" borderId="58" xfId="0" applyFont="1" applyFill="1" applyBorder="1" applyAlignment="1">
      <alignment horizontal="left"/>
    </xf>
    <xf numFmtId="166" fontId="3" fillId="0" borderId="59" xfId="0" applyNumberFormat="1" applyFont="1" applyFill="1" applyBorder="1" applyAlignment="1">
      <alignment horizontal="left"/>
    </xf>
    <xf numFmtId="0" fontId="2" fillId="0" borderId="62" xfId="0" applyFont="1" applyFill="1" applyBorder="1" applyAlignment="1">
      <alignment horizontal="left"/>
    </xf>
    <xf numFmtId="0" fontId="3" fillId="0" borderId="62" xfId="0" applyFont="1" applyFill="1" applyBorder="1" applyAlignment="1">
      <alignment horizontal="left"/>
    </xf>
    <xf numFmtId="0" fontId="11" fillId="0" borderId="62" xfId="6" applyFont="1" applyFill="1" applyBorder="1" applyAlignment="1">
      <alignment horizontal="left"/>
    </xf>
    <xf numFmtId="0" fontId="2" fillId="0" borderId="0" xfId="0" applyFont="1" applyFill="1" applyBorder="1" applyAlignment="1">
      <alignment horizontal="left" wrapText="1"/>
    </xf>
    <xf numFmtId="2" fontId="3" fillId="0" borderId="63" xfId="0" applyNumberFormat="1" applyFont="1" applyFill="1" applyBorder="1" applyAlignment="1">
      <alignment horizontal="center"/>
    </xf>
    <xf numFmtId="2" fontId="2" fillId="0" borderId="62" xfId="0" applyNumberFormat="1" applyFont="1" applyFill="1" applyBorder="1" applyAlignment="1">
      <alignment horizontal="left"/>
    </xf>
    <xf numFmtId="167" fontId="2" fillId="0" borderId="63" xfId="0" applyNumberFormat="1" applyFont="1" applyFill="1" applyBorder="1" applyAlignment="1">
      <alignment horizontal="right" vertical="center"/>
    </xf>
    <xf numFmtId="167" fontId="6" fillId="0" borderId="63" xfId="0" applyNumberFormat="1" applyFont="1" applyFill="1" applyBorder="1" applyAlignment="1">
      <alignment horizontal="right" vertical="center"/>
    </xf>
    <xf numFmtId="167" fontId="11" fillId="0" borderId="63" xfId="0" applyNumberFormat="1" applyFont="1" applyFill="1" applyBorder="1" applyAlignment="1">
      <alignment horizontal="right" vertical="center"/>
    </xf>
    <xf numFmtId="2" fontId="2" fillId="0" borderId="63" xfId="0" applyNumberFormat="1" applyFont="1" applyFill="1" applyBorder="1" applyAlignment="1">
      <alignment horizontal="right"/>
    </xf>
    <xf numFmtId="167" fontId="30" fillId="0" borderId="63" xfId="0" applyNumberFormat="1" applyFont="1" applyFill="1" applyBorder="1" applyAlignment="1">
      <alignment horizontal="right" vertical="center"/>
    </xf>
    <xf numFmtId="167" fontId="30" fillId="0" borderId="59" xfId="0" applyNumberFormat="1" applyFont="1" applyFill="1" applyBorder="1" applyAlignment="1">
      <alignment horizontal="right" vertical="center"/>
    </xf>
    <xf numFmtId="167" fontId="3" fillId="0" borderId="63" xfId="0" applyNumberFormat="1" applyFont="1" applyFill="1" applyBorder="1" applyAlignment="1">
      <alignment horizontal="right" vertical="center"/>
    </xf>
    <xf numFmtId="166" fontId="3" fillId="0" borderId="63" xfId="0" applyNumberFormat="1" applyFont="1" applyFill="1" applyBorder="1" applyAlignment="1">
      <alignment horizontal="left"/>
    </xf>
    <xf numFmtId="167" fontId="0" fillId="0" borderId="0" xfId="0" applyNumberFormat="1" applyFill="1" applyAlignment="1">
      <alignment horizontal="right" vertical="center"/>
    </xf>
    <xf numFmtId="167" fontId="0" fillId="0" borderId="0" xfId="0" applyNumberFormat="1" applyFill="1" applyBorder="1" applyAlignment="1">
      <alignment horizontal="right" vertical="center"/>
    </xf>
    <xf numFmtId="167" fontId="0" fillId="0" borderId="0" xfId="0" applyNumberFormat="1" applyFill="1" applyAlignment="1">
      <alignment horizontal="right"/>
    </xf>
    <xf numFmtId="0" fontId="5" fillId="0" borderId="62" xfId="0" applyFont="1" applyFill="1" applyBorder="1" applyAlignment="1">
      <alignment wrapText="1"/>
    </xf>
    <xf numFmtId="0" fontId="24" fillId="0" borderId="62" xfId="0" applyFont="1" applyFill="1" applyBorder="1" applyAlignment="1">
      <alignment vertical="center" wrapText="1"/>
    </xf>
    <xf numFmtId="0" fontId="24" fillId="0" borderId="58" xfId="0" applyFont="1" applyFill="1" applyBorder="1" applyAlignment="1">
      <alignment vertical="center" wrapText="1"/>
    </xf>
    <xf numFmtId="0" fontId="24" fillId="0" borderId="0" xfId="0" applyFont="1" applyFill="1" applyBorder="1" applyAlignment="1">
      <alignment vertical="center" wrapText="1"/>
    </xf>
    <xf numFmtId="0" fontId="11" fillId="0" borderId="62" xfId="0" applyFont="1" applyFill="1" applyBorder="1" applyAlignment="1">
      <alignment horizontal="left"/>
    </xf>
    <xf numFmtId="0" fontId="0" fillId="0" borderId="0" xfId="0" applyFill="1" applyAlignment="1">
      <alignment horizontal="left"/>
    </xf>
    <xf numFmtId="0" fontId="0" fillId="0" borderId="0" xfId="0" applyFill="1" applyBorder="1" applyAlignment="1">
      <alignment horizontal="left"/>
    </xf>
    <xf numFmtId="167" fontId="12" fillId="0" borderId="0" xfId="0" applyNumberFormat="1" applyFont="1" applyFill="1" applyAlignment="1">
      <alignment horizontal="left"/>
    </xf>
    <xf numFmtId="0" fontId="12" fillId="0" borderId="0" xfId="0" applyFont="1" applyFill="1" applyAlignment="1">
      <alignment horizontal="left"/>
    </xf>
    <xf numFmtId="169" fontId="0" fillId="0" borderId="0" xfId="0" applyNumberFormat="1" applyFill="1" applyAlignment="1">
      <alignment horizontal="left" vertical="center"/>
    </xf>
    <xf numFmtId="169" fontId="0" fillId="0" borderId="0" xfId="0" applyNumberFormat="1" applyFill="1"/>
    <xf numFmtId="166" fontId="2" fillId="0" borderId="63" xfId="0" applyNumberFormat="1" applyFont="1" applyFill="1" applyBorder="1" applyAlignment="1">
      <alignment horizontal="left"/>
    </xf>
    <xf numFmtId="167" fontId="12" fillId="0" borderId="0" xfId="1" applyNumberFormat="1" applyFont="1" applyFill="1" applyBorder="1" applyAlignment="1">
      <alignment horizontal="right" vertical="center"/>
    </xf>
    <xf numFmtId="0" fontId="2" fillId="0" borderId="62" xfId="2" applyFont="1" applyFill="1" applyBorder="1" applyAlignment="1">
      <alignment horizontal="left"/>
    </xf>
    <xf numFmtId="167" fontId="2" fillId="0" borderId="63" xfId="2" applyNumberFormat="1" applyFont="1" applyFill="1" applyBorder="1" applyAlignment="1">
      <alignment horizontal="right" vertical="center"/>
    </xf>
    <xf numFmtId="167" fontId="12" fillId="0" borderId="59" xfId="1" applyNumberFormat="1" applyFont="1" applyFill="1" applyBorder="1" applyAlignment="1">
      <alignment horizontal="right" vertical="center"/>
    </xf>
    <xf numFmtId="167" fontId="3" fillId="0" borderId="63" xfId="2" applyNumberFormat="1" applyFont="1" applyFill="1" applyBorder="1" applyAlignment="1">
      <alignment horizontal="right" vertical="center"/>
    </xf>
    <xf numFmtId="167" fontId="3" fillId="0" borderId="59" xfId="0" applyNumberFormat="1" applyFont="1" applyFill="1" applyBorder="1" applyAlignment="1">
      <alignment horizontal="right" vertical="center"/>
    </xf>
    <xf numFmtId="167" fontId="3" fillId="0" borderId="0" xfId="0" applyNumberFormat="1" applyFont="1" applyFill="1" applyBorder="1" applyAlignment="1">
      <alignment horizontal="left" vertical="center"/>
    </xf>
    <xf numFmtId="167" fontId="20" fillId="0" borderId="15" xfId="32" applyNumberFormat="1" applyFill="1" applyBorder="1"/>
    <xf numFmtId="167" fontId="2" fillId="0" borderId="62" xfId="0" applyNumberFormat="1" applyFont="1" applyFill="1" applyBorder="1" applyAlignment="1">
      <alignment horizontal="left" vertical="center"/>
    </xf>
    <xf numFmtId="167" fontId="17" fillId="0" borderId="63" xfId="29" applyNumberFormat="1" applyFill="1" applyBorder="1" applyAlignment="1">
      <alignment horizontal="right" vertical="center"/>
    </xf>
    <xf numFmtId="167" fontId="3" fillId="0" borderId="62" xfId="0" applyNumberFormat="1" applyFont="1" applyFill="1" applyBorder="1" applyAlignment="1">
      <alignment horizontal="left" vertical="center"/>
    </xf>
    <xf numFmtId="167" fontId="3" fillId="0" borderId="58" xfId="0" applyNumberFormat="1" applyFont="1" applyFill="1" applyBorder="1" applyAlignment="1">
      <alignment horizontal="left" vertical="center"/>
    </xf>
    <xf numFmtId="167" fontId="2" fillId="0" borderId="58" xfId="0" applyNumberFormat="1" applyFont="1" applyFill="1" applyBorder="1" applyAlignment="1">
      <alignment horizontal="left" vertical="center"/>
    </xf>
    <xf numFmtId="167" fontId="12" fillId="0" borderId="63" xfId="0" applyNumberFormat="1" applyFont="1" applyFill="1" applyBorder="1" applyAlignment="1">
      <alignment horizontal="right" vertical="center"/>
    </xf>
    <xf numFmtId="170" fontId="0" fillId="0" borderId="0" xfId="0" applyNumberFormat="1" applyBorder="1"/>
    <xf numFmtId="0" fontId="12" fillId="0" borderId="61" xfId="0" applyFont="1" applyBorder="1" applyAlignment="1">
      <alignment horizontal="left"/>
    </xf>
    <xf numFmtId="170" fontId="0" fillId="0" borderId="62" xfId="0" applyNumberFormat="1" applyBorder="1"/>
    <xf numFmtId="167" fontId="0" fillId="0" borderId="63" xfId="0" applyNumberFormat="1" applyFill="1" applyBorder="1" applyAlignment="1">
      <alignment horizontal="right"/>
    </xf>
    <xf numFmtId="164" fontId="0" fillId="0" borderId="62" xfId="0" applyNumberFormat="1" applyBorder="1" applyAlignment="1">
      <alignment wrapText="1"/>
    </xf>
    <xf numFmtId="167" fontId="0" fillId="0" borderId="63" xfId="0" applyNumberFormat="1" applyBorder="1" applyAlignment="1">
      <alignment horizontal="right"/>
    </xf>
    <xf numFmtId="165" fontId="0" fillId="0" borderId="63" xfId="0" applyNumberFormat="1" applyBorder="1" applyAlignment="1">
      <alignment horizontal="right" wrapText="1"/>
    </xf>
    <xf numFmtId="164" fontId="0" fillId="0" borderId="62" xfId="0" applyNumberFormat="1" applyFill="1" applyBorder="1" applyAlignment="1">
      <alignment wrapText="1"/>
    </xf>
    <xf numFmtId="165" fontId="0" fillId="0" borderId="63" xfId="0" applyNumberFormat="1" applyFill="1" applyBorder="1" applyAlignment="1">
      <alignment horizontal="right" wrapText="1"/>
    </xf>
    <xf numFmtId="164" fontId="0" fillId="0" borderId="58" xfId="0" applyNumberFormat="1" applyFill="1" applyBorder="1" applyAlignment="1">
      <alignment wrapText="1"/>
    </xf>
    <xf numFmtId="165" fontId="0" fillId="0" borderId="59" xfId="0" applyNumberFormat="1" applyFill="1" applyBorder="1" applyAlignment="1">
      <alignment horizontal="right" wrapText="1"/>
    </xf>
    <xf numFmtId="0" fontId="12" fillId="0" borderId="64" xfId="0" applyFont="1" applyBorder="1" applyAlignment="1">
      <alignment horizontal="left"/>
    </xf>
    <xf numFmtId="170" fontId="0" fillId="0" borderId="67" xfId="0" applyNumberFormat="1" applyBorder="1"/>
    <xf numFmtId="167" fontId="0" fillId="0" borderId="68" xfId="0" applyNumberFormat="1" applyBorder="1" applyAlignment="1">
      <alignment horizontal="right"/>
    </xf>
    <xf numFmtId="0" fontId="0" fillId="0" borderId="65" xfId="0" applyBorder="1" applyAlignment="1">
      <alignment horizontal="center"/>
    </xf>
    <xf numFmtId="165" fontId="0" fillId="0" borderId="65" xfId="0" applyNumberFormat="1" applyFill="1" applyBorder="1" applyAlignment="1">
      <alignment horizontal="right" wrapText="1"/>
    </xf>
    <xf numFmtId="164" fontId="0" fillId="0" borderId="65" xfId="0" applyNumberFormat="1" applyFill="1" applyBorder="1" applyAlignment="1">
      <alignment wrapText="1"/>
    </xf>
    <xf numFmtId="0" fontId="5" fillId="0" borderId="0" xfId="0" applyFont="1" applyFill="1" applyBorder="1" applyAlignment="1">
      <alignment wrapText="1"/>
    </xf>
    <xf numFmtId="0" fontId="0" fillId="7" borderId="0" xfId="0" applyFont="1" applyFill="1" applyBorder="1" applyAlignment="1">
      <alignment wrapText="1"/>
    </xf>
    <xf numFmtId="0" fontId="0" fillId="0" borderId="0" xfId="0" applyFont="1" applyFill="1" applyBorder="1" applyAlignment="1">
      <alignment wrapText="1"/>
    </xf>
    <xf numFmtId="166" fontId="0" fillId="0" borderId="0" xfId="1" applyFont="1" applyBorder="1"/>
    <xf numFmtId="166" fontId="0" fillId="7" borderId="0" xfId="1" applyFont="1" applyFill="1" applyBorder="1"/>
    <xf numFmtId="166" fontId="0" fillId="0" borderId="0" xfId="1" applyFont="1" applyFill="1" applyBorder="1"/>
    <xf numFmtId="0" fontId="0" fillId="0" borderId="42" xfId="0" applyFont="1" applyBorder="1" applyAlignment="1">
      <alignment wrapText="1"/>
    </xf>
    <xf numFmtId="166" fontId="0" fillId="0" borderId="42" xfId="1" applyFont="1" applyBorder="1"/>
    <xf numFmtId="0" fontId="0" fillId="0" borderId="41" xfId="0" applyFont="1" applyBorder="1" applyAlignment="1">
      <alignment wrapText="1"/>
    </xf>
    <xf numFmtId="166" fontId="0" fillId="0" borderId="41" xfId="1" applyFont="1" applyBorder="1"/>
    <xf numFmtId="171" fontId="0" fillId="0" borderId="41" xfId="5" applyNumberFormat="1" applyFont="1" applyBorder="1"/>
    <xf numFmtId="0" fontId="0" fillId="0" borderId="42" xfId="0" applyFont="1" applyFill="1" applyBorder="1" applyAlignment="1">
      <alignment wrapText="1"/>
    </xf>
    <xf numFmtId="166" fontId="0" fillId="0" borderId="42" xfId="1" applyFont="1" applyFill="1" applyBorder="1"/>
    <xf numFmtId="0" fontId="12" fillId="0" borderId="53" xfId="0" applyFont="1" applyFill="1" applyBorder="1"/>
    <xf numFmtId="0" fontId="12" fillId="0" borderId="71" xfId="0" applyFont="1" applyBorder="1" applyAlignment="1">
      <alignment wrapText="1"/>
    </xf>
    <xf numFmtId="0" fontId="0" fillId="0" borderId="71" xfId="0" applyBorder="1"/>
    <xf numFmtId="0" fontId="0" fillId="0" borderId="72" xfId="0" applyBorder="1"/>
    <xf numFmtId="166" fontId="0" fillId="0" borderId="74" xfId="1" applyFont="1" applyBorder="1"/>
    <xf numFmtId="166" fontId="0" fillId="0" borderId="63" xfId="1" applyFont="1" applyBorder="1"/>
    <xf numFmtId="166" fontId="0" fillId="7" borderId="63" xfId="1" applyFont="1" applyFill="1" applyBorder="1"/>
    <xf numFmtId="166" fontId="0" fillId="0" borderId="77" xfId="1" applyFont="1" applyBorder="1"/>
    <xf numFmtId="166" fontId="0" fillId="0" borderId="74" xfId="1" applyFont="1" applyFill="1" applyBorder="1"/>
    <xf numFmtId="166" fontId="0" fillId="0" borderId="63" xfId="1" applyFont="1" applyFill="1" applyBorder="1"/>
    <xf numFmtId="0" fontId="0" fillId="0" borderId="65" xfId="0" applyFont="1" applyBorder="1" applyAlignment="1">
      <alignment wrapText="1"/>
    </xf>
    <xf numFmtId="166" fontId="0" fillId="0" borderId="65" xfId="1" applyFont="1" applyBorder="1"/>
    <xf numFmtId="166" fontId="0" fillId="0" borderId="59" xfId="1" applyFont="1" applyBorder="1"/>
    <xf numFmtId="10" fontId="23" fillId="7" borderId="0" xfId="30" applyNumberFormat="1" applyFont="1" applyFill="1" applyBorder="1"/>
    <xf numFmtId="0" fontId="26" fillId="0" borderId="60" xfId="0" applyFont="1" applyBorder="1"/>
    <xf numFmtId="0" fontId="0" fillId="0" borderId="62" xfId="0" applyBorder="1"/>
    <xf numFmtId="10" fontId="23" fillId="7" borderId="63" xfId="30" applyNumberFormat="1" applyFont="1" applyFill="1" applyBorder="1"/>
    <xf numFmtId="0" fontId="0" fillId="0" borderId="58" xfId="0" applyBorder="1"/>
    <xf numFmtId="2" fontId="12" fillId="7" borderId="65" xfId="31" applyNumberFormat="1" applyFont="1" applyFill="1" applyBorder="1"/>
    <xf numFmtId="2" fontId="12" fillId="7" borderId="59" xfId="31" applyNumberFormat="1" applyFont="1" applyFill="1" applyBorder="1"/>
    <xf numFmtId="0" fontId="26" fillId="0" borderId="64" xfId="0" applyFont="1" applyBorder="1" applyAlignment="1">
      <alignment horizontal="left"/>
    </xf>
    <xf numFmtId="0" fontId="26" fillId="0" borderId="61" xfId="0" applyFont="1" applyBorder="1" applyAlignment="1">
      <alignment horizontal="left"/>
    </xf>
    <xf numFmtId="0" fontId="0" fillId="7" borderId="15" xfId="0" applyFill="1" applyBorder="1" applyAlignment="1">
      <alignment horizontal="center"/>
    </xf>
    <xf numFmtId="0" fontId="23" fillId="7" borderId="9" xfId="30" applyNumberFormat="1" applyFont="1" applyFill="1" applyBorder="1"/>
    <xf numFmtId="0" fontId="23" fillId="7" borderId="26" xfId="30" applyFont="1" applyFill="1" applyBorder="1" applyAlignment="1">
      <alignment horizontal="center"/>
    </xf>
    <xf numFmtId="0" fontId="41" fillId="0" borderId="27" xfId="0" applyFont="1" applyBorder="1"/>
    <xf numFmtId="4" fontId="10" fillId="0" borderId="0" xfId="0" applyNumberFormat="1" applyFont="1"/>
    <xf numFmtId="0" fontId="0" fillId="0" borderId="0" xfId="0" applyAlignment="1">
      <alignment vertical="center"/>
    </xf>
    <xf numFmtId="0" fontId="0" fillId="0" borderId="79" xfId="0" applyBorder="1" applyAlignment="1">
      <alignment vertical="center"/>
    </xf>
    <xf numFmtId="0" fontId="0" fillId="7" borderId="80" xfId="0" applyFill="1" applyBorder="1" applyAlignment="1">
      <alignment vertical="center"/>
    </xf>
    <xf numFmtId="0" fontId="0" fillId="0" borderId="81" xfId="0" applyBorder="1" applyAlignment="1">
      <alignment vertical="center" wrapText="1"/>
    </xf>
    <xf numFmtId="0" fontId="42" fillId="0" borderId="0" xfId="0" applyFont="1" applyAlignment="1">
      <alignment vertical="center"/>
    </xf>
    <xf numFmtId="0" fontId="0" fillId="8" borderId="0" xfId="0" applyFill="1"/>
    <xf numFmtId="0" fontId="2" fillId="8" borderId="0" xfId="0" applyFont="1" applyFill="1" applyBorder="1" applyAlignment="1"/>
    <xf numFmtId="167" fontId="36" fillId="0" borderId="0" xfId="32" applyNumberFormat="1" applyFont="1" applyFill="1" applyBorder="1" applyAlignment="1">
      <alignment horizontal="right"/>
    </xf>
    <xf numFmtId="2" fontId="3" fillId="0" borderId="70" xfId="0" applyNumberFormat="1" applyFont="1" applyFill="1" applyBorder="1" applyAlignment="1">
      <alignment horizontal="center"/>
    </xf>
    <xf numFmtId="0" fontId="3" fillId="0" borderId="70" xfId="0" applyFont="1" applyFill="1" applyBorder="1" applyAlignment="1">
      <alignment horizontal="center"/>
    </xf>
    <xf numFmtId="0" fontId="0" fillId="0" borderId="64" xfId="0" applyBorder="1"/>
    <xf numFmtId="0" fontId="0" fillId="0" borderId="61" xfId="0" applyBorder="1"/>
    <xf numFmtId="0" fontId="39" fillId="0" borderId="83" xfId="0" applyFont="1" applyFill="1" applyBorder="1"/>
    <xf numFmtId="2" fontId="39" fillId="0" borderId="84" xfId="0" applyNumberFormat="1" applyFont="1" applyFill="1" applyBorder="1" applyAlignment="1">
      <alignment horizontal="center"/>
    </xf>
    <xf numFmtId="0" fontId="39" fillId="0" borderId="84" xfId="0" applyFont="1" applyFill="1" applyBorder="1" applyAlignment="1">
      <alignment horizontal="center"/>
    </xf>
    <xf numFmtId="0" fontId="39" fillId="0" borderId="85" xfId="0" applyFont="1" applyFill="1" applyBorder="1" applyAlignment="1">
      <alignment horizontal="center"/>
    </xf>
    <xf numFmtId="167" fontId="0" fillId="0" borderId="52" xfId="32" applyNumberFormat="1" applyFont="1" applyFill="1" applyBorder="1" applyAlignment="1">
      <alignment horizontal="right"/>
    </xf>
    <xf numFmtId="167" fontId="12" fillId="0" borderId="52" xfId="31" applyNumberFormat="1" applyFont="1" applyFill="1" applyBorder="1" applyAlignment="1">
      <alignment horizontal="right"/>
    </xf>
    <xf numFmtId="167" fontId="12" fillId="0" borderId="84" xfId="31" applyNumberFormat="1" applyFont="1" applyFill="1" applyBorder="1" applyAlignment="1">
      <alignment horizontal="right"/>
    </xf>
    <xf numFmtId="9" fontId="39" fillId="0" borderId="85" xfId="5" applyNumberFormat="1" applyFont="1" applyFill="1" applyBorder="1" applyAlignment="1">
      <alignment horizontal="center"/>
    </xf>
    <xf numFmtId="167" fontId="0" fillId="9" borderId="70" xfId="32" applyNumberFormat="1" applyFont="1" applyFill="1" applyBorder="1" applyAlignment="1">
      <alignment horizontal="right"/>
    </xf>
    <xf numFmtId="167" fontId="0" fillId="9" borderId="52" xfId="32" applyNumberFormat="1" applyFont="1" applyFill="1" applyBorder="1" applyAlignment="1">
      <alignment horizontal="right"/>
    </xf>
    <xf numFmtId="167" fontId="0" fillId="9" borderId="69" xfId="32" applyNumberFormat="1" applyFont="1" applyFill="1" applyBorder="1" applyAlignment="1">
      <alignment horizontal="right"/>
    </xf>
    <xf numFmtId="0" fontId="0" fillId="7" borderId="41" xfId="0" applyFont="1" applyFill="1" applyBorder="1" applyAlignment="1">
      <alignment wrapText="1"/>
    </xf>
    <xf numFmtId="166" fontId="0" fillId="7" borderId="41" xfId="1" applyFont="1" applyFill="1" applyBorder="1"/>
    <xf numFmtId="0" fontId="39" fillId="0" borderId="79" xfId="0" applyFont="1" applyFill="1" applyBorder="1"/>
    <xf numFmtId="167" fontId="12" fillId="0" borderId="80" xfId="31" applyNumberFormat="1" applyFont="1" applyFill="1" applyBorder="1" applyAlignment="1">
      <alignment horizontal="right"/>
    </xf>
    <xf numFmtId="167" fontId="12" fillId="0" borderId="81" xfId="31" applyNumberFormat="1" applyFont="1" applyFill="1" applyBorder="1" applyAlignment="1">
      <alignment horizontal="right"/>
    </xf>
    <xf numFmtId="167" fontId="36" fillId="9" borderId="0" xfId="32" applyNumberFormat="1" applyFont="1" applyFill="1" applyBorder="1" applyAlignment="1">
      <alignment horizontal="right"/>
    </xf>
    <xf numFmtId="0" fontId="38" fillId="0" borderId="62" xfId="2" applyFont="1" applyFill="1" applyBorder="1"/>
    <xf numFmtId="167" fontId="36" fillId="0" borderId="63" xfId="32" applyNumberFormat="1" applyFont="1" applyFill="1" applyBorder="1" applyAlignment="1">
      <alignment horizontal="right"/>
    </xf>
    <xf numFmtId="0" fontId="38" fillId="9" borderId="62" xfId="2" applyFont="1" applyFill="1" applyBorder="1"/>
    <xf numFmtId="167" fontId="36" fillId="9" borderId="63" xfId="32" applyNumberFormat="1" applyFont="1" applyFill="1" applyBorder="1" applyAlignment="1">
      <alignment horizontal="right"/>
    </xf>
    <xf numFmtId="0" fontId="3" fillId="0" borderId="79" xfId="0" applyFont="1" applyFill="1" applyBorder="1" applyAlignment="1">
      <alignment horizontal="left"/>
    </xf>
    <xf numFmtId="2" fontId="3" fillId="0" borderId="80" xfId="0" applyNumberFormat="1" applyFont="1" applyFill="1" applyBorder="1" applyAlignment="1">
      <alignment horizontal="center"/>
    </xf>
    <xf numFmtId="0" fontId="3" fillId="0" borderId="81" xfId="0" applyFont="1" applyFill="1" applyBorder="1" applyAlignment="1">
      <alignment horizontal="center"/>
    </xf>
    <xf numFmtId="4" fontId="36" fillId="0" borderId="0" xfId="32" applyNumberFormat="1" applyFont="1" applyFill="1" applyBorder="1"/>
    <xf numFmtId="1" fontId="18" fillId="7" borderId="52" xfId="30" applyNumberFormat="1" applyFill="1" applyBorder="1"/>
    <xf numFmtId="0" fontId="18" fillId="7" borderId="52" xfId="30" applyFill="1" applyBorder="1" applyAlignment="1">
      <alignment horizontal="right"/>
    </xf>
    <xf numFmtId="167" fontId="29" fillId="7" borderId="52" xfId="30" applyNumberFormat="1" applyFont="1" applyFill="1" applyBorder="1" applyAlignment="1">
      <alignment horizontal="right"/>
    </xf>
    <xf numFmtId="167" fontId="43" fillId="0" borderId="52" xfId="0" applyNumberFormat="1" applyFont="1" applyFill="1" applyBorder="1" applyAlignment="1">
      <alignment horizontal="right"/>
    </xf>
    <xf numFmtId="2" fontId="36" fillId="0" borderId="52" xfId="32" applyNumberFormat="1" applyFont="1" applyFill="1" applyBorder="1"/>
    <xf numFmtId="4" fontId="36" fillId="0" borderId="52" xfId="32" applyNumberFormat="1" applyFont="1" applyFill="1" applyBorder="1" applyAlignment="1">
      <alignment horizontal="right"/>
    </xf>
    <xf numFmtId="167" fontId="36" fillId="0" borderId="52" xfId="31" applyNumberFormat="1" applyFont="1" applyFill="1" applyBorder="1" applyAlignment="1">
      <alignment horizontal="right"/>
    </xf>
    <xf numFmtId="4" fontId="36" fillId="0" borderId="52" xfId="31" applyNumberFormat="1" applyFont="1" applyFill="1" applyBorder="1" applyAlignment="1">
      <alignment horizontal="right"/>
    </xf>
    <xf numFmtId="167" fontId="2" fillId="0" borderId="1" xfId="0" applyNumberFormat="1" applyFont="1" applyFill="1" applyBorder="1"/>
    <xf numFmtId="167" fontId="0" fillId="0" borderId="1" xfId="0" applyNumberFormat="1" applyFill="1" applyBorder="1"/>
    <xf numFmtId="4" fontId="0" fillId="0" borderId="1" xfId="0" applyNumberFormat="1" applyFill="1" applyBorder="1"/>
    <xf numFmtId="2" fontId="2" fillId="0" borderId="1" xfId="0" applyNumberFormat="1" applyFont="1" applyFill="1" applyBorder="1"/>
    <xf numFmtId="0" fontId="26" fillId="0" borderId="60" xfId="0" applyFont="1" applyFill="1" applyBorder="1"/>
    <xf numFmtId="0" fontId="0" fillId="0" borderId="62" xfId="0" applyFill="1" applyBorder="1"/>
    <xf numFmtId="0" fontId="18" fillId="7" borderId="88" xfId="30" applyFill="1" applyBorder="1"/>
    <xf numFmtId="0" fontId="0" fillId="7" borderId="63" xfId="0" applyFill="1" applyBorder="1"/>
    <xf numFmtId="0" fontId="0" fillId="0" borderId="58" xfId="0" applyFill="1" applyBorder="1"/>
    <xf numFmtId="3" fontId="18" fillId="7" borderId="89" xfId="30" applyNumberFormat="1" applyFill="1" applyBorder="1"/>
    <xf numFmtId="0" fontId="12" fillId="0" borderId="50" xfId="0" applyFont="1" applyFill="1" applyBorder="1" applyAlignment="1">
      <alignment horizontal="center"/>
    </xf>
    <xf numFmtId="0" fontId="12" fillId="0" borderId="51" xfId="0" applyFont="1" applyFill="1" applyBorder="1" applyAlignment="1">
      <alignment horizontal="center"/>
    </xf>
    <xf numFmtId="0" fontId="0" fillId="0" borderId="44" xfId="0" applyFill="1" applyBorder="1"/>
    <xf numFmtId="167" fontId="0" fillId="0" borderId="45" xfId="1" applyNumberFormat="1" applyFont="1" applyFill="1" applyBorder="1"/>
    <xf numFmtId="0" fontId="0" fillId="0" borderId="46" xfId="0" applyFill="1" applyBorder="1"/>
    <xf numFmtId="167" fontId="12" fillId="0" borderId="47" xfId="1" applyNumberFormat="1" applyFont="1" applyFill="1" applyBorder="1"/>
    <xf numFmtId="170" fontId="36" fillId="0" borderId="63" xfId="32" applyNumberFormat="1" applyFont="1" applyFill="1" applyBorder="1"/>
    <xf numFmtId="167" fontId="36" fillId="0" borderId="63" xfId="31" applyNumberFormat="1" applyFont="1" applyFill="1" applyBorder="1"/>
    <xf numFmtId="2" fontId="16" fillId="0" borderId="0" xfId="0" applyNumberFormat="1" applyFont="1" applyFill="1" applyBorder="1"/>
    <xf numFmtId="0" fontId="12" fillId="0" borderId="58" xfId="0" applyFont="1" applyFill="1" applyBorder="1" applyAlignment="1">
      <alignment horizontal="left"/>
    </xf>
    <xf numFmtId="0" fontId="2" fillId="0" borderId="62" xfId="0" applyFont="1" applyFill="1" applyBorder="1"/>
    <xf numFmtId="0" fontId="12" fillId="0" borderId="62" xfId="0" applyFont="1" applyFill="1" applyBorder="1" applyAlignment="1">
      <alignment horizontal="left"/>
    </xf>
    <xf numFmtId="167" fontId="12" fillId="0" borderId="63" xfId="31" applyNumberFormat="1" applyFont="1" applyFill="1" applyBorder="1"/>
    <xf numFmtId="167" fontId="12" fillId="0" borderId="59" xfId="0" applyNumberFormat="1" applyFont="1" applyBorder="1"/>
    <xf numFmtId="2" fontId="9" fillId="0" borderId="60" xfId="4" applyNumberFormat="1" applyFill="1" applyBorder="1" applyAlignment="1">
      <alignment horizontal="left"/>
    </xf>
    <xf numFmtId="2" fontId="9" fillId="0" borderId="64" xfId="4" applyNumberFormat="1" applyFill="1" applyBorder="1" applyAlignment="1">
      <alignment horizontal="left"/>
    </xf>
    <xf numFmtId="2" fontId="9" fillId="0" borderId="61" xfId="4" applyNumberFormat="1" applyFill="1" applyBorder="1" applyAlignment="1">
      <alignment horizontal="left"/>
    </xf>
    <xf numFmtId="0" fontId="38" fillId="9" borderId="76" xfId="2" applyFont="1" applyFill="1" applyBorder="1"/>
    <xf numFmtId="0" fontId="38" fillId="0" borderId="54" xfId="2" applyFont="1" applyFill="1" applyBorder="1" applyAlignment="1">
      <alignment horizontal="left"/>
    </xf>
    <xf numFmtId="0" fontId="38" fillId="9" borderId="54" xfId="2" applyFont="1" applyFill="1" applyBorder="1"/>
    <xf numFmtId="0" fontId="38" fillId="0" borderId="54" xfId="2" applyFont="1" applyFill="1" applyBorder="1"/>
    <xf numFmtId="0" fontId="38" fillId="9" borderId="73" xfId="2" applyFont="1" applyFill="1" applyBorder="1"/>
    <xf numFmtId="0" fontId="3" fillId="0" borderId="62" xfId="0" applyFont="1" applyFill="1" applyBorder="1" applyAlignment="1">
      <alignment horizontal="center"/>
    </xf>
    <xf numFmtId="0" fontId="3" fillId="0" borderId="63" xfId="0" applyFont="1" applyFill="1" applyBorder="1" applyAlignment="1">
      <alignment horizontal="center"/>
    </xf>
    <xf numFmtId="167" fontId="2" fillId="0" borderId="63" xfId="0" applyNumberFormat="1" applyFont="1" applyFill="1" applyBorder="1" applyAlignment="1">
      <alignment horizontal="right"/>
    </xf>
    <xf numFmtId="0" fontId="3" fillId="0" borderId="79" xfId="0" applyFont="1" applyFill="1" applyBorder="1" applyAlignment="1">
      <alignment horizontal="right"/>
    </xf>
    <xf numFmtId="0" fontId="3" fillId="0" borderId="80" xfId="0" applyFont="1" applyFill="1" applyBorder="1" applyAlignment="1">
      <alignment horizontal="right"/>
    </xf>
    <xf numFmtId="167" fontId="3" fillId="0" borderId="81" xfId="0" applyNumberFormat="1" applyFont="1" applyFill="1" applyBorder="1" applyAlignment="1">
      <alignment horizontal="right"/>
    </xf>
    <xf numFmtId="0" fontId="2" fillId="0" borderId="61" xfId="0" applyFont="1" applyFill="1" applyBorder="1"/>
    <xf numFmtId="0" fontId="3" fillId="0" borderId="76" xfId="0" applyFont="1" applyFill="1" applyBorder="1" applyAlignment="1">
      <alignment horizontal="center"/>
    </xf>
    <xf numFmtId="0" fontId="3" fillId="0" borderId="86" xfId="0" applyFont="1" applyFill="1" applyBorder="1" applyAlignment="1">
      <alignment horizontal="center"/>
    </xf>
    <xf numFmtId="0" fontId="2" fillId="0" borderId="54" xfId="0" applyFont="1" applyFill="1" applyBorder="1"/>
    <xf numFmtId="0" fontId="12" fillId="7" borderId="55" xfId="31" applyFont="1" applyFill="1" applyBorder="1"/>
    <xf numFmtId="0" fontId="3" fillId="0" borderId="54" xfId="0" applyFont="1" applyFill="1" applyBorder="1"/>
    <xf numFmtId="167" fontId="2" fillId="7" borderId="55" xfId="0" applyNumberFormat="1" applyFont="1" applyFill="1" applyBorder="1" applyAlignment="1">
      <alignment horizontal="right"/>
    </xf>
    <xf numFmtId="0" fontId="2" fillId="0" borderId="54" xfId="2" applyFont="1" applyFill="1" applyBorder="1"/>
    <xf numFmtId="0" fontId="5" fillId="0" borderId="54" xfId="0" applyFont="1" applyBorder="1"/>
    <xf numFmtId="167" fontId="43" fillId="0" borderId="55" xfId="0" applyNumberFormat="1" applyFont="1" applyFill="1" applyBorder="1" applyAlignment="1">
      <alignment horizontal="right"/>
    </xf>
    <xf numFmtId="0" fontId="3" fillId="0" borderId="54" xfId="2" applyFont="1" applyFill="1" applyBorder="1"/>
    <xf numFmtId="4" fontId="36" fillId="0" borderId="55" xfId="32" applyNumberFormat="1" applyFont="1" applyFill="1" applyBorder="1"/>
    <xf numFmtId="4" fontId="36" fillId="0" borderId="55" xfId="31" applyNumberFormat="1" applyFont="1" applyFill="1" applyBorder="1" applyAlignment="1">
      <alignment horizontal="right"/>
    </xf>
    <xf numFmtId="0" fontId="2" fillId="0" borderId="56" xfId="0" applyFont="1" applyFill="1" applyBorder="1"/>
    <xf numFmtId="4" fontId="36" fillId="0" borderId="82" xfId="31" applyNumberFormat="1" applyFont="1" applyFill="1" applyBorder="1" applyAlignment="1">
      <alignment horizontal="right"/>
    </xf>
    <xf numFmtId="4" fontId="36" fillId="0" borderId="57" xfId="31" applyNumberFormat="1" applyFont="1" applyFill="1" applyBorder="1" applyAlignment="1">
      <alignment horizontal="right"/>
    </xf>
    <xf numFmtId="0" fontId="9" fillId="0" borderId="60" xfId="4" applyFill="1" applyBorder="1" applyAlignment="1">
      <alignment horizontal="left"/>
    </xf>
    <xf numFmtId="0" fontId="9" fillId="0" borderId="64" xfId="4" applyFill="1" applyBorder="1" applyAlignment="1">
      <alignment horizontal="left"/>
    </xf>
    <xf numFmtId="0" fontId="9" fillId="0" borderId="61" xfId="4" applyFill="1" applyBorder="1" applyAlignment="1">
      <alignment horizontal="left"/>
    </xf>
    <xf numFmtId="167" fontId="2" fillId="0" borderId="45" xfId="0" applyNumberFormat="1" applyFont="1" applyFill="1" applyBorder="1" applyAlignment="1">
      <alignment horizontal="right"/>
    </xf>
    <xf numFmtId="167" fontId="2" fillId="0" borderId="47" xfId="0" applyNumberFormat="1" applyFont="1" applyFill="1" applyBorder="1" applyAlignment="1">
      <alignment horizontal="right"/>
    </xf>
    <xf numFmtId="0" fontId="0" fillId="0" borderId="93" xfId="0" applyBorder="1"/>
    <xf numFmtId="0" fontId="2" fillId="0" borderId="43" xfId="0" applyFont="1" applyFill="1" applyBorder="1" applyAlignment="1">
      <alignment horizontal="center"/>
    </xf>
    <xf numFmtId="0" fontId="12" fillId="0" borderId="44" xfId="0" applyFont="1" applyBorder="1"/>
    <xf numFmtId="0" fontId="3" fillId="0" borderId="45" xfId="0" applyFont="1" applyFill="1" applyBorder="1" applyAlignment="1">
      <alignment horizontal="center"/>
    </xf>
    <xf numFmtId="167" fontId="2" fillId="0" borderId="45" xfId="0" applyNumberFormat="1" applyFont="1" applyFill="1" applyBorder="1" applyAlignment="1">
      <alignment horizontal="center"/>
    </xf>
    <xf numFmtId="167" fontId="2" fillId="0" borderId="45" xfId="0" applyNumberFormat="1" applyFont="1" applyFill="1" applyBorder="1"/>
    <xf numFmtId="4" fontId="2" fillId="0" borderId="45" xfId="0" applyNumberFormat="1" applyFont="1" applyFill="1" applyBorder="1"/>
    <xf numFmtId="4" fontId="0" fillId="0" borderId="45" xfId="0" applyNumberFormat="1" applyFill="1" applyBorder="1"/>
    <xf numFmtId="0" fontId="2" fillId="0" borderId="44" xfId="0" applyFont="1" applyFill="1" applyBorder="1"/>
    <xf numFmtId="4" fontId="2" fillId="0" borderId="94" xfId="0" applyNumberFormat="1" applyFont="1" applyFill="1" applyBorder="1"/>
    <xf numFmtId="4" fontId="2" fillId="0" borderId="47" xfId="0" applyNumberFormat="1" applyFont="1" applyFill="1" applyBorder="1"/>
    <xf numFmtId="4" fontId="0" fillId="0" borderId="6" xfId="0" applyNumberFormat="1" applyFill="1" applyBorder="1"/>
    <xf numFmtId="4" fontId="0" fillId="0" borderId="8" xfId="0" applyNumberFormat="1" applyFill="1" applyBorder="1"/>
    <xf numFmtId="0" fontId="39" fillId="0" borderId="0" xfId="0" applyFont="1" applyBorder="1" applyAlignment="1">
      <alignment horizontal="center"/>
    </xf>
    <xf numFmtId="0" fontId="0" fillId="0" borderId="0" xfId="32" applyFont="1" applyBorder="1"/>
    <xf numFmtId="0" fontId="4" fillId="0" borderId="60" xfId="0" applyFont="1" applyBorder="1"/>
    <xf numFmtId="0" fontId="39" fillId="0" borderId="62" xfId="0" applyFont="1" applyBorder="1"/>
    <xf numFmtId="0" fontId="39" fillId="0" borderId="63" xfId="0" applyFont="1" applyBorder="1" applyAlignment="1">
      <alignment horizontal="center"/>
    </xf>
    <xf numFmtId="0" fontId="43" fillId="0" borderId="62" xfId="0" applyFont="1" applyBorder="1"/>
    <xf numFmtId="0" fontId="12" fillId="6" borderId="63" xfId="31" applyFont="1" applyBorder="1"/>
    <xf numFmtId="0" fontId="43" fillId="0" borderId="58" xfId="0" applyFont="1" applyBorder="1"/>
    <xf numFmtId="0" fontId="0" fillId="0" borderId="65" xfId="32" applyFont="1" applyBorder="1"/>
    <xf numFmtId="0" fontId="12" fillId="6" borderId="59" xfId="31" applyFont="1" applyBorder="1"/>
    <xf numFmtId="0" fontId="12" fillId="7" borderId="22" xfId="31" applyFont="1" applyFill="1" applyBorder="1"/>
    <xf numFmtId="0" fontId="12" fillId="7" borderId="15" xfId="31" applyFont="1" applyFill="1" applyBorder="1"/>
    <xf numFmtId="0" fontId="36" fillId="7" borderId="15" xfId="30" applyFont="1" applyFill="1" applyBorder="1"/>
    <xf numFmtId="0" fontId="12" fillId="7" borderId="15" xfId="30" applyFont="1" applyFill="1" applyBorder="1"/>
    <xf numFmtId="0" fontId="12" fillId="6" borderId="15" xfId="31" applyFont="1" applyBorder="1"/>
    <xf numFmtId="0" fontId="12" fillId="0" borderId="18" xfId="32" applyFont="1" applyBorder="1"/>
    <xf numFmtId="9" fontId="0" fillId="0" borderId="0" xfId="5" applyFont="1"/>
    <xf numFmtId="9" fontId="2" fillId="0" borderId="0" xfId="0" applyNumberFormat="1" applyFont="1" applyFill="1" applyBorder="1" applyAlignment="1">
      <alignment horizontal="right"/>
    </xf>
    <xf numFmtId="2" fontId="2" fillId="0" borderId="62" xfId="0" applyNumberFormat="1" applyFont="1" applyFill="1" applyBorder="1" applyAlignment="1">
      <alignment horizontal="left" indent="2"/>
    </xf>
    <xf numFmtId="0" fontId="2" fillId="0" borderId="62" xfId="0" applyFont="1" applyFill="1" applyBorder="1" applyAlignment="1">
      <alignment horizontal="left" indent="2"/>
    </xf>
    <xf numFmtId="167" fontId="12" fillId="0" borderId="55" xfId="32" applyNumberFormat="1" applyFont="1" applyFill="1" applyBorder="1" applyAlignment="1">
      <alignment horizontal="right"/>
    </xf>
    <xf numFmtId="4" fontId="12" fillId="0" borderId="52" xfId="32" applyNumberFormat="1" applyFont="1" applyFill="1" applyBorder="1" applyAlignment="1">
      <alignment horizontal="right"/>
    </xf>
    <xf numFmtId="4" fontId="12" fillId="0" borderId="55" xfId="31" applyNumberFormat="1" applyFont="1" applyFill="1" applyBorder="1" applyAlignment="1">
      <alignment horizontal="right"/>
    </xf>
    <xf numFmtId="0" fontId="5" fillId="0" borderId="62" xfId="0" applyFont="1" applyFill="1" applyBorder="1" applyAlignment="1">
      <alignment horizontal="left" wrapText="1" indent="2"/>
    </xf>
    <xf numFmtId="9" fontId="38" fillId="9" borderId="86" xfId="5" applyNumberFormat="1" applyFont="1" applyFill="1" applyBorder="1" applyAlignment="1">
      <alignment horizontal="center"/>
    </xf>
    <xf numFmtId="9" fontId="38" fillId="0" borderId="55" xfId="5" applyNumberFormat="1" applyFont="1" applyFill="1" applyBorder="1" applyAlignment="1">
      <alignment horizontal="center"/>
    </xf>
    <xf numFmtId="9" fontId="38" fillId="9" borderId="55" xfId="5" applyNumberFormat="1" applyFont="1" applyFill="1" applyBorder="1" applyAlignment="1">
      <alignment horizontal="center"/>
    </xf>
    <xf numFmtId="9" fontId="38" fillId="9" borderId="87" xfId="5" applyNumberFormat="1" applyFont="1" applyFill="1" applyBorder="1" applyAlignment="1">
      <alignment horizontal="center"/>
    </xf>
    <xf numFmtId="0" fontId="2" fillId="0" borderId="90" xfId="0" applyFont="1" applyFill="1" applyBorder="1" applyAlignment="1">
      <alignment horizontal="left"/>
    </xf>
    <xf numFmtId="0" fontId="0" fillId="0" borderId="91" xfId="0" applyBorder="1" applyAlignment="1"/>
    <xf numFmtId="0" fontId="0" fillId="0" borderId="92" xfId="0" applyBorder="1" applyAlignment="1"/>
    <xf numFmtId="0" fontId="15" fillId="0" borderId="0" xfId="3" applyFont="1" applyFill="1" applyBorder="1" applyAlignment="1">
      <alignment horizontal="center"/>
    </xf>
    <xf numFmtId="0" fontId="9" fillId="0" borderId="0" xfId="4" applyFill="1" applyBorder="1" applyAlignment="1">
      <alignment horizontal="left"/>
    </xf>
    <xf numFmtId="0" fontId="2" fillId="0" borderId="50" xfId="0" applyFont="1" applyFill="1" applyBorder="1" applyAlignment="1">
      <alignment horizontal="left"/>
    </xf>
    <xf numFmtId="0" fontId="0" fillId="0" borderId="3" xfId="0" applyBorder="1" applyAlignment="1"/>
    <xf numFmtId="0" fontId="0" fillId="0" borderId="2" xfId="0" applyBorder="1" applyAlignment="1"/>
    <xf numFmtId="0" fontId="12" fillId="0" borderId="11" xfId="0" applyFont="1" applyBorder="1" applyAlignment="1">
      <alignment horizontal="center"/>
    </xf>
    <xf numFmtId="0" fontId="12" fillId="0" borderId="13" xfId="0" applyFont="1" applyBorder="1" applyAlignment="1">
      <alignment horizontal="center"/>
    </xf>
    <xf numFmtId="0" fontId="12" fillId="0" borderId="0" xfId="0" applyFont="1" applyAlignment="1">
      <alignment horizontal="center"/>
    </xf>
    <xf numFmtId="0" fontId="22" fillId="0" borderId="11" xfId="0" applyFont="1" applyBorder="1" applyAlignment="1">
      <alignment horizontal="center"/>
    </xf>
    <xf numFmtId="0" fontId="22" fillId="0" borderId="13" xfId="0" applyFont="1" applyBorder="1" applyAlignment="1">
      <alignment horizontal="center"/>
    </xf>
    <xf numFmtId="0" fontId="24" fillId="0" borderId="11" xfId="0" applyFont="1" applyFill="1" applyBorder="1" applyAlignment="1">
      <alignment horizontal="center"/>
    </xf>
    <xf numFmtId="0" fontId="24" fillId="0" borderId="13" xfId="0" applyFont="1" applyFill="1" applyBorder="1" applyAlignment="1">
      <alignment horizontal="center"/>
    </xf>
    <xf numFmtId="0" fontId="12" fillId="0" borderId="48" xfId="0" applyFont="1" applyFill="1" applyBorder="1" applyAlignment="1">
      <alignment horizontal="center"/>
    </xf>
    <xf numFmtId="0" fontId="12" fillId="0" borderId="49" xfId="0" applyFont="1" applyFill="1" applyBorder="1" applyAlignment="1">
      <alignment horizontal="center"/>
    </xf>
    <xf numFmtId="0" fontId="3" fillId="0" borderId="60" xfId="0" applyFont="1" applyFill="1" applyBorder="1" applyAlignment="1">
      <alignment horizontal="center"/>
    </xf>
    <xf numFmtId="0" fontId="3" fillId="0" borderId="61" xfId="0" applyFont="1" applyFill="1" applyBorder="1" applyAlignment="1">
      <alignment horizontal="center"/>
    </xf>
    <xf numFmtId="0" fontId="4" fillId="0" borderId="79" xfId="0" applyFont="1" applyFill="1" applyBorder="1" applyAlignment="1">
      <alignment horizontal="center"/>
    </xf>
    <xf numFmtId="0" fontId="4" fillId="0" borderId="81" xfId="0" applyFont="1" applyFill="1" applyBorder="1" applyAlignment="1">
      <alignment horizontal="center"/>
    </xf>
    <xf numFmtId="0" fontId="0" fillId="0" borderId="73" xfId="0" applyFont="1" applyBorder="1" applyAlignment="1">
      <alignment horizontal="left" vertical="center" wrapText="1"/>
    </xf>
    <xf numFmtId="0" fontId="0" fillId="0" borderId="75" xfId="0" applyFont="1" applyBorder="1" applyAlignment="1">
      <alignment horizontal="left" vertical="center" wrapText="1"/>
    </xf>
    <xf numFmtId="0" fontId="0" fillId="0" borderId="78" xfId="0" applyFont="1" applyBorder="1" applyAlignment="1">
      <alignment horizontal="left" vertical="center" wrapText="1"/>
    </xf>
    <xf numFmtId="0" fontId="0" fillId="3" borderId="54" xfId="0" applyFont="1" applyFill="1" applyBorder="1" applyAlignment="1">
      <alignment horizontal="left" vertical="center" wrapText="1"/>
    </xf>
    <xf numFmtId="0" fontId="0" fillId="3" borderId="75" xfId="0" applyFont="1" applyFill="1" applyBorder="1" applyAlignment="1">
      <alignment horizontal="left" vertical="center" wrapText="1"/>
    </xf>
    <xf numFmtId="0" fontId="0" fillId="3" borderId="76" xfId="0" applyFont="1" applyFill="1" applyBorder="1" applyAlignment="1">
      <alignment horizontal="left" vertical="center" wrapText="1"/>
    </xf>
    <xf numFmtId="0" fontId="0" fillId="0" borderId="76" xfId="0" applyFont="1" applyBorder="1" applyAlignment="1">
      <alignment horizontal="left" vertical="center" wrapText="1"/>
    </xf>
    <xf numFmtId="0" fontId="12" fillId="0" borderId="31" xfId="0" applyFont="1" applyBorder="1" applyAlignment="1">
      <alignment horizontal="center"/>
    </xf>
    <xf numFmtId="0" fontId="12" fillId="0" borderId="32" xfId="0" applyFont="1" applyBorder="1" applyAlignment="1">
      <alignment horizontal="center"/>
    </xf>
    <xf numFmtId="0" fontId="12" fillId="0" borderId="33" xfId="0" applyFont="1"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12" fillId="0" borderId="60" xfId="0" applyFont="1" applyBorder="1" applyAlignment="1">
      <alignment horizontal="center"/>
    </xf>
    <xf numFmtId="0" fontId="12" fillId="0" borderId="64" xfId="0" applyFont="1" applyBorder="1" applyAlignment="1">
      <alignment horizontal="center"/>
    </xf>
    <xf numFmtId="0" fontId="12" fillId="0" borderId="61" xfId="0" applyFont="1" applyBorder="1" applyAlignment="1">
      <alignment horizontal="center"/>
    </xf>
    <xf numFmtId="0" fontId="12" fillId="0" borderId="60" xfId="0" applyFont="1" applyFill="1" applyBorder="1" applyAlignment="1">
      <alignment horizontal="center"/>
    </xf>
    <xf numFmtId="0" fontId="12" fillId="0" borderId="64" xfId="0" applyFont="1" applyFill="1" applyBorder="1" applyAlignment="1">
      <alignment horizontal="center"/>
    </xf>
    <xf numFmtId="0" fontId="12" fillId="0" borderId="66" xfId="0" applyFont="1" applyFill="1" applyBorder="1" applyAlignment="1">
      <alignment horizontal="center"/>
    </xf>
    <xf numFmtId="0" fontId="4" fillId="0" borderId="60" xfId="0" applyFont="1" applyFill="1" applyBorder="1" applyAlignment="1">
      <alignment horizontal="center"/>
    </xf>
    <xf numFmtId="0" fontId="4" fillId="0" borderId="61" xfId="0" applyFont="1" applyFill="1" applyBorder="1" applyAlignment="1">
      <alignment horizontal="center"/>
    </xf>
    <xf numFmtId="167" fontId="4" fillId="0" borderId="60" xfId="0" applyNumberFormat="1" applyFont="1" applyFill="1" applyBorder="1" applyAlignment="1">
      <alignment horizontal="center" vertical="center"/>
    </xf>
    <xf numFmtId="167" fontId="4" fillId="0" borderId="61" xfId="0" applyNumberFormat="1" applyFont="1" applyFill="1" applyBorder="1" applyAlignment="1">
      <alignment horizontal="center" vertical="center"/>
    </xf>
    <xf numFmtId="0" fontId="12" fillId="0" borderId="27" xfId="0" applyFont="1" applyBorder="1" applyAlignment="1">
      <alignment horizontal="center"/>
    </xf>
    <xf numFmtId="0" fontId="12" fillId="0" borderId="37" xfId="0" applyFont="1" applyBorder="1" applyAlignment="1">
      <alignment horizontal="center"/>
    </xf>
    <xf numFmtId="0" fontId="12" fillId="0" borderId="34" xfId="0" applyFont="1" applyBorder="1" applyAlignment="1">
      <alignment horizontal="center"/>
    </xf>
    <xf numFmtId="0" fontId="0" fillId="0" borderId="21" xfId="0"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40" fillId="0" borderId="0" xfId="0" applyFont="1" applyFill="1" applyAlignment="1">
      <alignment horizontal="center"/>
    </xf>
    <xf numFmtId="0" fontId="0" fillId="0" borderId="30" xfId="0" applyBorder="1" applyAlignment="1">
      <alignment horizontal="left"/>
    </xf>
    <xf numFmtId="0" fontId="0" fillId="0" borderId="2" xfId="0" applyBorder="1" applyAlignment="1">
      <alignment horizontal="left"/>
    </xf>
    <xf numFmtId="0" fontId="0" fillId="0" borderId="30"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4" fillId="0" borderId="60" xfId="2" applyFont="1" applyFill="1" applyBorder="1" applyAlignment="1">
      <alignment horizontal="center"/>
    </xf>
    <xf numFmtId="0" fontId="4" fillId="0" borderId="61" xfId="2" applyFont="1" applyFill="1" applyBorder="1" applyAlignment="1">
      <alignment horizontal="center"/>
    </xf>
    <xf numFmtId="0" fontId="0" fillId="0" borderId="0" xfId="0" applyFont="1"/>
    <xf numFmtId="0" fontId="44" fillId="0" borderId="0" xfId="0" applyFont="1" applyFill="1" applyAlignment="1">
      <alignment horizontal="center"/>
    </xf>
    <xf numFmtId="44" fontId="0" fillId="0" borderId="0" xfId="0" applyNumberFormat="1" applyBorder="1"/>
    <xf numFmtId="0" fontId="0" fillId="7" borderId="16" xfId="0" applyFill="1" applyBorder="1" applyAlignment="1"/>
    <xf numFmtId="0" fontId="0" fillId="7" borderId="17" xfId="0" applyFill="1" applyBorder="1" applyAlignment="1"/>
    <xf numFmtId="44" fontId="0" fillId="7" borderId="17" xfId="0" applyNumberFormat="1" applyFill="1" applyBorder="1" applyAlignment="1"/>
    <xf numFmtId="44" fontId="12" fillId="7" borderId="18" xfId="0" applyNumberFormat="1" applyFont="1" applyFill="1" applyBorder="1" applyAlignment="1"/>
  </cellXfs>
  <cellStyles count="34">
    <cellStyle name="Bad" xfId="29" builtinId="27"/>
    <cellStyle name="Calculation" xfId="31" builtinId="22"/>
    <cellStyle name="Currency" xfId="1" builtinId="4"/>
    <cellStyle name="Followed Hyperlink" xfId="28" builtinId="9" hidden="1"/>
    <cellStyle name="Followed Hyperlink" xfId="12" builtinId="9" hidden="1"/>
    <cellStyle name="Followed Hyperlink" xfId="24" builtinId="9" hidden="1"/>
    <cellStyle name="Followed Hyperlink" xfId="10" builtinId="9" hidden="1"/>
    <cellStyle name="Followed Hyperlink" xfId="18" builtinId="9" hidden="1"/>
    <cellStyle name="Followed Hyperlink" xfId="14" builtinId="9" hidden="1"/>
    <cellStyle name="Followed Hyperlink" xfId="20" builtinId="9" hidden="1"/>
    <cellStyle name="Followed Hyperlink" xfId="16" builtinId="9" hidden="1"/>
    <cellStyle name="Followed Hyperlink" xfId="26" builtinId="9" hidden="1"/>
    <cellStyle name="Followed Hyperlink" xfId="22" builtinId="9" hidden="1"/>
    <cellStyle name="Followed Hyperlink" xfId="8" builtinId="9" hidden="1"/>
    <cellStyle name="Good" xfId="2" builtinId="26"/>
    <cellStyle name="Heading 1" xfId="3" builtinId="16"/>
    <cellStyle name="Heading 2" xfId="4" builtinId="17"/>
    <cellStyle name="Hyperlink" xfId="13" builtinId="8" hidden="1"/>
    <cellStyle name="Hyperlink" xfId="23" builtinId="8" hidden="1"/>
    <cellStyle name="Hyperlink" xfId="25" builtinId="8" hidden="1"/>
    <cellStyle name="Hyperlink" xfId="17" builtinId="8" hidden="1"/>
    <cellStyle name="Hyperlink" xfId="19" builtinId="8" hidden="1"/>
    <cellStyle name="Hyperlink" xfId="21" builtinId="8" hidden="1"/>
    <cellStyle name="Hyperlink" xfId="7" builtinId="8" hidden="1"/>
    <cellStyle name="Hyperlink" xfId="27" builtinId="8" hidden="1"/>
    <cellStyle name="Hyperlink" xfId="9" builtinId="8" hidden="1"/>
    <cellStyle name="Hyperlink" xfId="11" builtinId="8" hidden="1"/>
    <cellStyle name="Hyperlink" xfId="15" builtinId="8" hidden="1"/>
    <cellStyle name="Hyperlink" xfId="33" builtinId="8"/>
    <cellStyle name="Input" xfId="30" builtinId="20"/>
    <cellStyle name="Linked Cell" xfId="32" builtinId="24"/>
    <cellStyle name="Normal" xfId="0" builtinId="0"/>
    <cellStyle name="Percent" xfId="5" builtinId="5"/>
    <cellStyle name="Warning Text" xfId="6" builtinId="11"/>
  </cellStyles>
  <dxfs count="20">
    <dxf>
      <font>
        <b val="0"/>
        <i val="0"/>
        <strike val="0"/>
        <condense val="0"/>
        <extend val="0"/>
        <outline val="0"/>
        <shadow val="0"/>
        <u val="none"/>
        <vertAlign val="baseline"/>
        <sz val="10"/>
        <color auto="1"/>
        <name val="Arial"/>
        <scheme val="none"/>
      </font>
      <numFmt numFmtId="167" formatCode="&quot;$&quot;#,##0.00"/>
      <fill>
        <patternFill patternType="none">
          <fgColor indexed="64"/>
          <bgColor indexed="65"/>
        </patternFill>
      </fill>
      <border diagonalUp="0" diagonalDown="0">
        <left style="thin">
          <color theme="1"/>
        </left>
        <right/>
        <top style="thin">
          <color theme="1"/>
        </top>
        <bottom style="thin">
          <color theme="1"/>
        </bottom>
        <vertical style="thin">
          <color theme="1"/>
        </vertical>
        <horizontal style="thin">
          <color theme="1"/>
        </horizontal>
      </border>
    </dxf>
    <dxf>
      <font>
        <b val="0"/>
        <i val="0"/>
        <strike val="0"/>
        <condense val="0"/>
        <extend val="0"/>
        <outline val="0"/>
        <shadow val="0"/>
        <u val="none"/>
        <vertAlign val="baseline"/>
        <sz val="10"/>
        <color auto="1"/>
        <name val="Arial"/>
        <scheme val="none"/>
      </font>
      <numFmt numFmtId="167" formatCode="&quot;$&quot;#,##0.00"/>
      <fill>
        <patternFill patternType="none">
          <fgColor indexed="64"/>
          <bgColor indexed="65"/>
        </patternFill>
      </fill>
      <border diagonalUp="0" diagonalDown="0">
        <left style="thin">
          <color theme="1"/>
        </left>
        <right style="thin">
          <color theme="1"/>
        </right>
        <top style="thin">
          <color theme="1"/>
        </top>
        <bottom style="thin">
          <color theme="1"/>
        </bottom>
        <vertical style="thin">
          <color theme="1"/>
        </vertical>
        <horizontal style="thin">
          <color theme="1"/>
        </horizontal>
      </border>
    </dxf>
    <dxf>
      <font>
        <b val="0"/>
        <i val="0"/>
        <strike val="0"/>
        <condense val="0"/>
        <extend val="0"/>
        <outline val="0"/>
        <shadow val="0"/>
        <u val="none"/>
        <vertAlign val="baseline"/>
        <sz val="10"/>
        <color auto="1"/>
        <name val="Arial"/>
        <scheme val="none"/>
      </font>
      <numFmt numFmtId="167" formatCode="&quot;$&quot;#,##0.00"/>
      <fill>
        <patternFill patternType="none">
          <fgColor indexed="64"/>
          <bgColor indexed="65"/>
        </patternFill>
      </fill>
      <border diagonalUp="0" diagonalDown="0">
        <left style="thin">
          <color theme="1"/>
        </left>
        <right style="thin">
          <color theme="1"/>
        </right>
        <top style="thin">
          <color theme="1"/>
        </top>
        <bottom style="thin">
          <color theme="1"/>
        </bottom>
        <vertical style="thin">
          <color theme="1"/>
        </vertical>
        <horizontal style="thin">
          <color theme="1"/>
        </horizontal>
      </border>
    </dxf>
    <dxf>
      <font>
        <b val="0"/>
        <i val="0"/>
        <strike val="0"/>
        <condense val="0"/>
        <extend val="0"/>
        <outline val="0"/>
        <shadow val="0"/>
        <u val="none"/>
        <vertAlign val="baseline"/>
        <sz val="10"/>
        <color auto="1"/>
        <name val="Arial"/>
        <scheme val="none"/>
      </font>
      <fill>
        <patternFill patternType="none">
          <fgColor indexed="64"/>
          <bgColor indexed="65"/>
        </patternFill>
      </fill>
      <border diagonalUp="0" diagonalDown="0">
        <left/>
        <right style="thin">
          <color theme="1"/>
        </right>
        <top style="thin">
          <color theme="1"/>
        </top>
        <bottom style="thin">
          <color theme="1"/>
        </bottom>
        <vertical style="thin">
          <color theme="1"/>
        </vertical>
        <horizontal style="thin">
          <color theme="1"/>
        </horizontal>
      </border>
    </dxf>
    <dxf>
      <border>
        <top style="thin">
          <color theme="1"/>
        </top>
      </border>
    </dxf>
    <dxf>
      <border diagonalUp="0" diagonalDown="0">
        <left style="thin">
          <color theme="1"/>
        </left>
        <right style="thin">
          <color theme="1"/>
        </right>
        <top style="thin">
          <color theme="1"/>
        </top>
        <bottom style="thin">
          <color theme="1"/>
        </bottom>
      </border>
    </dxf>
    <dxf>
      <border>
        <bottom style="thin">
          <color theme="1"/>
        </bottom>
      </border>
    </dxf>
    <dxf>
      <font>
        <b/>
        <i val="0"/>
        <strike val="0"/>
        <condense val="0"/>
        <extend val="0"/>
        <outline val="0"/>
        <shadow val="0"/>
        <u val="none"/>
        <vertAlign val="baseline"/>
        <sz val="10"/>
        <color auto="1"/>
        <name val="Arial"/>
        <scheme val="none"/>
      </font>
      <fill>
        <patternFill patternType="none">
          <fgColor indexed="64"/>
          <bgColor indexed="65"/>
        </patternFill>
      </fill>
      <alignment horizontal="center" vertical="bottom" textRotation="0" wrapText="0" relativeIndent="0" justifyLastLine="0" shrinkToFit="0" readingOrder="0"/>
      <border diagonalUp="0" diagonalDown="0">
        <left style="thin">
          <color theme="1"/>
        </left>
        <right style="thin">
          <color theme="1"/>
        </right>
        <top/>
        <bottom/>
        <vertical style="thin">
          <color theme="1"/>
        </vertical>
        <horizontal style="thin">
          <color theme="1"/>
        </horizontal>
      </border>
    </dxf>
    <dxf>
      <font>
        <b val="0"/>
        <i val="0"/>
        <strike val="0"/>
        <condense val="0"/>
        <extend val="0"/>
        <outline val="0"/>
        <shadow val="0"/>
        <u val="none"/>
        <vertAlign val="baseline"/>
        <sz val="10"/>
        <color theme="1"/>
        <name val="Arial"/>
        <scheme val="none"/>
      </font>
      <numFmt numFmtId="167" formatCode="&quot;$&quot;#,##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67" formatCode="&quot;$&quot;#,##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indexed="65"/>
        </patternFill>
      </fill>
    </dxf>
    <dxf>
      <font>
        <b val="0"/>
        <i val="0"/>
        <strike val="0"/>
        <condense val="0"/>
        <extend val="0"/>
        <outline val="0"/>
        <shadow val="0"/>
        <u val="none"/>
        <vertAlign val="baseline"/>
        <sz val="10"/>
        <color theme="1"/>
        <name val="Arial"/>
        <scheme val="none"/>
      </font>
      <numFmt numFmtId="13" formatCode="0%"/>
      <fill>
        <patternFill patternType="none">
          <fgColor indexed="64"/>
          <bgColor auto="1"/>
        </patternFill>
      </fill>
      <alignment horizontal="center" vertical="bottom" textRotation="0" wrapText="0" relative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0"/>
        <color theme="1"/>
        <name val="Arial"/>
        <scheme val="none"/>
      </font>
      <numFmt numFmtId="167" formatCode="&quot;$&quot;#,##0.00"/>
      <fill>
        <patternFill patternType="none">
          <fgColor indexed="64"/>
          <bgColor auto="1"/>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0"/>
        <color theme="1"/>
        <name val="Arial"/>
        <scheme val="none"/>
      </font>
      <numFmt numFmtId="167" formatCode="&quot;$&quot;#,##0.00"/>
      <fill>
        <patternFill patternType="none">
          <fgColor indexed="64"/>
          <bgColor auto="1"/>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border>
    </dxf>
    <dxf>
      <font>
        <b val="0"/>
        <i val="0"/>
        <strike val="0"/>
        <condense val="0"/>
        <extend val="0"/>
        <outline val="0"/>
        <shadow val="0"/>
        <u val="none"/>
        <vertAlign val="baseline"/>
        <sz val="10"/>
        <color theme="1"/>
        <name val="Arial"/>
        <scheme val="none"/>
      </font>
      <fill>
        <patternFill patternType="none">
          <fgColor indexed="64"/>
          <bgColor auto="1"/>
        </patternFill>
      </fill>
      <border diagonalUp="0" diagonalDown="0">
        <left/>
        <right style="thin">
          <color theme="1"/>
        </right>
        <top style="thin">
          <color theme="1"/>
        </top>
        <bottom style="thin">
          <color theme="1"/>
        </bottom>
      </border>
    </dxf>
    <dxf>
      <border>
        <top style="thin">
          <color theme="1"/>
        </top>
      </border>
    </dxf>
    <dxf>
      <border diagonalUp="0" diagonalDown="0">
        <left style="medium">
          <color theme="1"/>
        </left>
        <right style="medium">
          <color theme="1"/>
        </right>
        <top style="medium">
          <color theme="1"/>
        </top>
        <bottom style="medium">
          <color theme="1"/>
        </bottom>
      </border>
    </dxf>
    <dxf>
      <font>
        <strike val="0"/>
        <outline val="0"/>
        <shadow val="0"/>
        <u val="none"/>
        <vertAlign val="baseline"/>
        <color theme="1"/>
      </font>
      <fill>
        <patternFill patternType="none">
          <fgColor indexed="64"/>
          <bgColor auto="1"/>
        </patternFill>
      </fill>
    </dxf>
    <dxf>
      <border>
        <bottom style="medium">
          <color theme="1"/>
        </bottom>
      </border>
    </dxf>
    <dxf>
      <font>
        <strike val="0"/>
        <outline val="0"/>
        <shadow val="0"/>
        <u val="none"/>
        <vertAlign val="baseline"/>
        <color theme="1"/>
      </font>
      <fill>
        <patternFill patternType="none">
          <fgColor indexed="64"/>
          <bgColor auto="1"/>
        </patternFill>
      </fill>
      <border diagonalUp="0" diagonalDown="0" outline="0">
        <left style="thin">
          <color theme="1"/>
        </left>
        <right style="thin">
          <color theme="1"/>
        </right>
        <top/>
        <bottom/>
      </border>
    </dxf>
  </dxfs>
  <tableStyles count="0" defaultTableStyle="TableStyleMedium2" defaultPivotStyle="PivotStyleLight16"/>
  <colors>
    <mruColors>
      <color rgb="FFD6F7EC"/>
      <color rgb="FFEC97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0000000}" name="Table37" displayName="Table37" ref="A5:D16" totalsRowShown="0" headerRowDxfId="19" dataDxfId="17" headerRowBorderDxfId="18" tableBorderDxfId="16" totalsRowBorderDxfId="15">
  <autoFilter ref="A5:D16" xr:uid="{00000000-0009-0000-0100-000006000000}"/>
  <tableColumns count="4">
    <tableColumn id="1" xr3:uid="{00000000-0010-0000-0000-000001000000}" name="Item" dataDxfId="14" dataCellStyle="Good"/>
    <tableColumn id="2" xr3:uid="{00000000-0010-0000-0000-000002000000}" name="Monthly" dataDxfId="13" dataCellStyle="Good">
      <calculatedColumnFormula>Table37[[#This Row],[Annually]]/12</calculatedColumnFormula>
    </tableColumn>
    <tableColumn id="3" xr3:uid="{00000000-0010-0000-0000-000003000000}" name="Annually" dataDxfId="12" dataCellStyle="Good">
      <calculatedColumnFormula>'Family Expenses'!B56</calculatedColumnFormula>
    </tableColumn>
    <tableColumn id="4" xr3:uid="{00000000-0010-0000-0000-000004000000}" name="% of Total Annually" dataDxfId="11" dataCellStyle="Good">
      <calculatedColumnFormula>C6/C7</calculatedColumnFormula>
    </tableColumn>
  </tableColumns>
  <tableStyleInfo name="TableStyleLight1"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1000000}" name="Table48" displayName="Table48" ref="A19:C26" totalsRowShown="0">
  <autoFilter ref="A19:C26" xr:uid="{00000000-0009-0000-0100-000007000000}"/>
  <tableColumns count="3">
    <tableColumn id="1" xr3:uid="{00000000-0010-0000-0100-000001000000}" name="Income" dataDxfId="10" dataCellStyle="Good"/>
    <tableColumn id="2" xr3:uid="{00000000-0010-0000-0100-000002000000}" name="Monthly" dataDxfId="9" dataCellStyle="Good"/>
    <tableColumn id="3" xr3:uid="{00000000-0010-0000-0100-000003000000}" name="Annually" dataDxfId="8" dataCellStyle="Good"/>
  </tableColumns>
  <tableStyleInfo name="TableStyleLight1"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2000000}" name="Table59" displayName="Table59" ref="A35:D47" totalsRowShown="0" headerRowDxfId="7" headerRowBorderDxfId="6" tableBorderDxfId="5" totalsRowBorderDxfId="4">
  <autoFilter ref="A35:D47" xr:uid="{00000000-0009-0000-0100-000008000000}"/>
  <tableColumns count="4">
    <tableColumn id="1" xr3:uid="{00000000-0010-0000-0200-000001000000}" name="Column1" dataDxfId="3"/>
    <tableColumn id="2" xr3:uid="{00000000-0010-0000-0200-000002000000}" name="Parent 1" dataDxfId="2"/>
    <tableColumn id="3" xr3:uid="{00000000-0010-0000-0200-000003000000}" name="Parent 2" dataDxfId="1"/>
    <tableColumn id="4" xr3:uid="{00000000-0010-0000-0200-000004000000}" name="Total" dataDxfId="0">
      <calculatedColumnFormula>B36+C36</calculatedColumnFormula>
    </tableColumn>
  </tableColumns>
  <tableStyleInfo name="TableStyleLight1"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https://www.canada.ca/en/revenue-agency/services/child-family-benefits/canada-child-benefit-overview/canada-child-benefit-ccb-calculation-sheet-july-2019-june-2020-payments-2018-tax-year.html" TargetMode="External"/><Relationship Id="rId1" Type="http://schemas.openxmlformats.org/officeDocument/2006/relationships/hyperlink" Target="https://www.canada.ca/en/revenue-agency/services/child-family-benefits/goods-services-tax-harmonized-sales-tax-gst-hst-credit/goods-services-tax-harmonized-sales-tax-credit-calculation-sheet-july-2019-june-2020-payments-2018-tax-year.html"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62"/>
  <sheetViews>
    <sheetView topLeftCell="A22" zoomScale="120" zoomScaleNormal="120" zoomScalePageLayoutView="120" workbookViewId="0">
      <selection activeCell="G20" sqref="G20"/>
    </sheetView>
  </sheetViews>
  <sheetFormatPr baseColWidth="10" defaultColWidth="8.83203125" defaultRowHeight="15"/>
  <cols>
    <col min="1" max="1" width="23.83203125" style="25" customWidth="1"/>
    <col min="2" max="2" width="13.5" style="25" customWidth="1"/>
    <col min="3" max="3" width="12.6640625" style="25" customWidth="1"/>
    <col min="4" max="4" width="18.6640625" style="25" customWidth="1"/>
    <col min="5" max="5" width="24.1640625" style="25" customWidth="1"/>
    <col min="6" max="6" width="20.5" style="25" customWidth="1"/>
    <col min="7" max="7" width="15.1640625" style="25" customWidth="1"/>
    <col min="8" max="8" width="17.6640625" style="25" customWidth="1"/>
    <col min="9" max="9" width="11.1640625" style="25" customWidth="1"/>
    <col min="10" max="10" width="11.83203125" style="25" customWidth="1"/>
    <col min="11" max="11" width="8.1640625" style="25" customWidth="1"/>
    <col min="12" max="12" width="11.6640625" style="25" customWidth="1"/>
    <col min="13" max="13" width="11" style="25" customWidth="1"/>
    <col min="14" max="14" width="11.1640625" style="25" customWidth="1"/>
    <col min="15" max="15" width="14.5" style="25" customWidth="1"/>
    <col min="16" max="16" width="10.5" style="25" customWidth="1"/>
    <col min="17" max="17" width="13.1640625" style="25" customWidth="1"/>
    <col min="18" max="18" width="12" style="25" bestFit="1" customWidth="1"/>
    <col min="19" max="19" width="10.5" style="25" customWidth="1"/>
    <col min="20" max="16384" width="8.83203125" style="25"/>
  </cols>
  <sheetData>
    <row r="1" spans="1:16" ht="21">
      <c r="A1" s="411" t="s">
        <v>271</v>
      </c>
      <c r="B1" s="411"/>
      <c r="C1" s="411"/>
      <c r="D1" s="411"/>
      <c r="E1" s="411"/>
      <c r="F1" s="411"/>
      <c r="G1" s="411"/>
      <c r="H1" s="24"/>
      <c r="I1" s="24"/>
      <c r="J1" s="1"/>
      <c r="K1" s="1"/>
      <c r="L1" s="1"/>
      <c r="M1" s="1"/>
      <c r="N1" s="1"/>
      <c r="O1" s="1"/>
    </row>
    <row r="2" spans="1:16" ht="17">
      <c r="A2" s="412"/>
      <c r="B2" s="412"/>
      <c r="C2" s="1"/>
      <c r="D2" s="1"/>
      <c r="E2" s="1"/>
      <c r="H2" s="1"/>
      <c r="I2" s="1"/>
      <c r="J2" s="1"/>
      <c r="K2" s="1"/>
      <c r="L2" s="1"/>
      <c r="M2" s="1"/>
      <c r="N2" s="1"/>
      <c r="O2" s="1"/>
    </row>
    <row r="3" spans="1:16" ht="16" thickBot="1">
      <c r="B3" s="2"/>
      <c r="C3" s="4"/>
      <c r="D3" s="1"/>
      <c r="E3" s="5"/>
      <c r="H3" s="5"/>
      <c r="I3" s="6"/>
      <c r="J3" s="1"/>
      <c r="K3" s="7"/>
      <c r="L3" s="4"/>
      <c r="M3" s="4"/>
      <c r="N3" s="4"/>
      <c r="O3" s="4"/>
    </row>
    <row r="4" spans="1:16" ht="18" thickBot="1">
      <c r="A4" s="332" t="s">
        <v>115</v>
      </c>
      <c r="B4" s="333"/>
      <c r="C4" s="333"/>
      <c r="D4" s="334"/>
      <c r="E4" s="5"/>
      <c r="H4" s="5"/>
      <c r="O4" s="4"/>
    </row>
    <row r="5" spans="1:16" ht="16" thickBot="1">
      <c r="A5" s="275" t="s">
        <v>1</v>
      </c>
      <c r="B5" s="276" t="s">
        <v>2</v>
      </c>
      <c r="C5" s="277" t="s">
        <v>3</v>
      </c>
      <c r="D5" s="278" t="s">
        <v>139</v>
      </c>
      <c r="E5" s="8"/>
      <c r="H5" s="9"/>
    </row>
    <row r="6" spans="1:16">
      <c r="A6" s="335" t="s">
        <v>5</v>
      </c>
      <c r="B6" s="283">
        <f>Table37[[#This Row],[Annually]]/12</f>
        <v>1050.2483399734394</v>
      </c>
      <c r="C6" s="283">
        <f>'Family Expenses'!B58</f>
        <v>12602.980079681274</v>
      </c>
      <c r="D6" s="404">
        <f>C6/C16</f>
        <v>0.18284280246947779</v>
      </c>
      <c r="E6" s="397"/>
      <c r="H6" s="9"/>
      <c r="P6" s="21"/>
    </row>
    <row r="7" spans="1:16">
      <c r="A7" s="336" t="s">
        <v>7</v>
      </c>
      <c r="B7" s="279">
        <f>Table37[[#This Row],[Annually]]/12</f>
        <v>202.8334985133796</v>
      </c>
      <c r="C7" s="279">
        <f>'Family Expenses'!B19</f>
        <v>2434.0019821605551</v>
      </c>
      <c r="D7" s="405">
        <f>C7/C16</f>
        <v>3.5312262720465615E-2</v>
      </c>
      <c r="E7" s="10"/>
      <c r="H7" s="9"/>
      <c r="P7" s="21"/>
    </row>
    <row r="8" spans="1:16">
      <c r="A8" s="337" t="s">
        <v>8</v>
      </c>
      <c r="B8" s="284">
        <f>'Family Expenses'!B13</f>
        <v>1202.5985000000001</v>
      </c>
      <c r="C8" s="284">
        <f>'Family Expenses'!B14</f>
        <v>14431.182000000001</v>
      </c>
      <c r="D8" s="406">
        <f>C8/C16</f>
        <v>0.20936617713782929</v>
      </c>
      <c r="E8" s="12"/>
      <c r="H8" s="9"/>
    </row>
    <row r="9" spans="1:16">
      <c r="A9" s="337" t="s">
        <v>9</v>
      </c>
      <c r="B9" s="284">
        <f>Table37[[#This Row],[Annually]]/12</f>
        <v>520.98526522593318</v>
      </c>
      <c r="C9" s="284">
        <f>'Family Expenses'!B36</f>
        <v>6251.8231827111986</v>
      </c>
      <c r="D9" s="406">
        <f>C9/C16</f>
        <v>9.0700839328746632E-2</v>
      </c>
      <c r="E9" s="13" t="s">
        <v>91</v>
      </c>
      <c r="H9" s="2"/>
    </row>
    <row r="10" spans="1:16">
      <c r="A10" s="338" t="s">
        <v>10</v>
      </c>
      <c r="B10" s="279">
        <f>Table37[[#This Row],[Annually]]/12</f>
        <v>1238.8616666666667</v>
      </c>
      <c r="C10" s="279">
        <f>'Family Expenses'!B53</f>
        <v>14866.34</v>
      </c>
      <c r="D10" s="405">
        <f>C10/C16</f>
        <v>0.21567940684492767</v>
      </c>
      <c r="E10" s="14"/>
      <c r="H10" s="2"/>
    </row>
    <row r="11" spans="1:16">
      <c r="A11" s="337" t="s">
        <v>11</v>
      </c>
      <c r="B11" s="284">
        <f>Table37[[#This Row],[Annually]]/12</f>
        <v>176.33</v>
      </c>
      <c r="C11" s="284">
        <f>'Family Expenses'!B64</f>
        <v>2115.96</v>
      </c>
      <c r="D11" s="406">
        <f>C11/C16</f>
        <v>3.0698140746652718E-2</v>
      </c>
      <c r="E11" s="14"/>
      <c r="H11" s="2"/>
    </row>
    <row r="12" spans="1:16">
      <c r="A12" s="338" t="s">
        <v>12</v>
      </c>
      <c r="B12" s="279">
        <f>Table37[[#This Row],[Annually]]/12</f>
        <v>228.08333333333334</v>
      </c>
      <c r="C12" s="306">
        <f>(B36*B37)*2+ (C36*C37)*2</f>
        <v>2737</v>
      </c>
      <c r="D12" s="405">
        <f>C12/C16</f>
        <v>3.970812833115394E-2</v>
      </c>
      <c r="E12" s="1"/>
      <c r="H12" s="1"/>
    </row>
    <row r="13" spans="1:16">
      <c r="A13" s="337" t="s">
        <v>13</v>
      </c>
      <c r="B13" s="284">
        <f>Table37[[#This Row],[Annually]]/12</f>
        <v>113.33333333333333</v>
      </c>
      <c r="C13" s="284">
        <f>'Family Expenses'!B44</f>
        <v>1360</v>
      </c>
      <c r="D13" s="406">
        <f>C13/C16</f>
        <v>1.9730746996846679E-2</v>
      </c>
      <c r="E13" s="8"/>
      <c r="H13" s="2"/>
    </row>
    <row r="14" spans="1:16">
      <c r="A14" s="338" t="s">
        <v>14</v>
      </c>
      <c r="B14" s="279">
        <f>Table37[[#This Row],[Annually]]/12</f>
        <v>606.43328358208953</v>
      </c>
      <c r="C14" s="279">
        <f>'Family Expenses'!B25</f>
        <v>7277.1994029850748</v>
      </c>
      <c r="D14" s="405">
        <f>C14/C16</f>
        <v>0.10557689725433984</v>
      </c>
      <c r="E14" s="10"/>
      <c r="H14" s="3"/>
    </row>
    <row r="15" spans="1:16" ht="16" thickBot="1">
      <c r="A15" s="339" t="s">
        <v>15</v>
      </c>
      <c r="B15" s="285">
        <f>Table37[[#This Row],[Annually]]/12</f>
        <v>404.28885572139302</v>
      </c>
      <c r="C15" s="285">
        <f>'Family Expenses'!B26</f>
        <v>4851.4662686567162</v>
      </c>
      <c r="D15" s="407">
        <f>C15/C16</f>
        <v>7.03845981695599E-2</v>
      </c>
      <c r="E15" s="10"/>
      <c r="H15" s="3"/>
    </row>
    <row r="16" spans="1:16" ht="16" thickBot="1">
      <c r="A16" s="275" t="s">
        <v>16</v>
      </c>
      <c r="B16" s="281">
        <f>SUM(B6:B15)</f>
        <v>5743.9960763495674</v>
      </c>
      <c r="C16" s="281">
        <f>SUM(C6:C15)</f>
        <v>68927.952916194816</v>
      </c>
      <c r="D16" s="282">
        <f>SUM(D6:D15)</f>
        <v>0.99999999999999989</v>
      </c>
      <c r="E16" s="10"/>
      <c r="H16" s="15"/>
    </row>
    <row r="17" spans="1:9" ht="16" thickBot="1">
      <c r="A17" s="5"/>
      <c r="B17" s="15"/>
      <c r="C17" s="15"/>
      <c r="D17" s="15"/>
      <c r="E17" s="10"/>
      <c r="H17" s="16"/>
    </row>
    <row r="18" spans="1:9" ht="18" thickBot="1">
      <c r="A18" s="332" t="s">
        <v>17</v>
      </c>
      <c r="B18" s="333"/>
      <c r="C18" s="334"/>
      <c r="D18" s="19" t="s">
        <v>302</v>
      </c>
      <c r="E18" s="31"/>
      <c r="F18" s="332" t="s">
        <v>300</v>
      </c>
      <c r="G18" s="367"/>
      <c r="H18" s="367"/>
      <c r="I18" s="368"/>
    </row>
    <row r="19" spans="1:9" ht="16" thickBot="1">
      <c r="A19" s="296" t="s">
        <v>18</v>
      </c>
      <c r="B19" s="297" t="s">
        <v>2</v>
      </c>
      <c r="C19" s="298" t="s">
        <v>3</v>
      </c>
      <c r="F19" s="369" t="s">
        <v>301</v>
      </c>
      <c r="G19" s="22" t="s">
        <v>25</v>
      </c>
      <c r="H19" s="22" t="s">
        <v>26</v>
      </c>
      <c r="I19" s="370" t="s">
        <v>16</v>
      </c>
    </row>
    <row r="20" spans="1:9">
      <c r="A20" s="292" t="s">
        <v>102</v>
      </c>
      <c r="B20" s="270">
        <f>'Table II - Government Transfers'!C12</f>
        <v>0</v>
      </c>
      <c r="C20" s="293">
        <f>'Table II - Government Transfers'!D12</f>
        <v>0</v>
      </c>
      <c r="F20" s="320" t="s">
        <v>239</v>
      </c>
      <c r="G20" s="308">
        <f>B38</f>
        <v>35581</v>
      </c>
      <c r="H20" s="309">
        <f>C38</f>
        <v>35581</v>
      </c>
      <c r="I20" s="371">
        <f>D38</f>
        <v>71162</v>
      </c>
    </row>
    <row r="21" spans="1:9">
      <c r="A21" s="294" t="s">
        <v>103</v>
      </c>
      <c r="B21" s="291">
        <f>'Table II - Government Transfers'!C13</f>
        <v>20.833333333333332</v>
      </c>
      <c r="C21" s="295">
        <f>'Table II - Government Transfers'!D13</f>
        <v>250</v>
      </c>
      <c r="F21" s="320" t="s">
        <v>240</v>
      </c>
      <c r="G21" s="309">
        <f>C10</f>
        <v>14866.34</v>
      </c>
      <c r="H21" s="157"/>
      <c r="I21" s="371">
        <f>G21</f>
        <v>14866.34</v>
      </c>
    </row>
    <row r="22" spans="1:9">
      <c r="A22" s="292" t="s">
        <v>140</v>
      </c>
      <c r="B22" s="270">
        <f>'Table II - Government Transfers'!C14</f>
        <v>686.32333333333327</v>
      </c>
      <c r="C22" s="293">
        <f>'Table II - Government Transfers'!D14</f>
        <v>4117.9399999999996</v>
      </c>
      <c r="F22" s="320" t="s">
        <v>241</v>
      </c>
      <c r="G22" s="309">
        <f t="shared" ref="G22:G27" si="0">B39</f>
        <v>-13000</v>
      </c>
      <c r="H22" s="157"/>
      <c r="I22" s="372">
        <f>G22</f>
        <v>-13000</v>
      </c>
    </row>
    <row r="23" spans="1:9">
      <c r="A23" s="294" t="s">
        <v>141</v>
      </c>
      <c r="B23" s="291">
        <f>'Table II - Government Transfers'!C15</f>
        <v>715.86083333333329</v>
      </c>
      <c r="C23" s="295">
        <f>'Table II - Government Transfers'!D15</f>
        <v>4295.165</v>
      </c>
      <c r="F23" s="320" t="s">
        <v>29</v>
      </c>
      <c r="G23" s="310">
        <f t="shared" si="0"/>
        <v>22581</v>
      </c>
      <c r="H23" s="310">
        <f t="shared" ref="H23:I27" si="1">C40</f>
        <v>35581</v>
      </c>
      <c r="I23" s="373">
        <f t="shared" si="1"/>
        <v>58162</v>
      </c>
    </row>
    <row r="24" spans="1:9">
      <c r="A24" s="292" t="s">
        <v>90</v>
      </c>
      <c r="B24" s="270">
        <f>'Table II - Government Transfers'!C16</f>
        <v>0</v>
      </c>
      <c r="C24" s="293">
        <f>'Table II - Government Transfers'!D16</f>
        <v>0</v>
      </c>
      <c r="F24" s="320" t="s">
        <v>30</v>
      </c>
      <c r="G24" s="311">
        <f t="shared" si="0"/>
        <v>562.1798</v>
      </c>
      <c r="H24" s="310">
        <f t="shared" si="1"/>
        <v>562.1798</v>
      </c>
      <c r="I24" s="374">
        <f t="shared" si="1"/>
        <v>1124.3596</v>
      </c>
    </row>
    <row r="25" spans="1:9" ht="16" thickBot="1">
      <c r="A25" s="294" t="s">
        <v>112</v>
      </c>
      <c r="B25" s="291">
        <f>'Table II - Government Transfers'!C17</f>
        <v>28.063333333333333</v>
      </c>
      <c r="C25" s="295">
        <f>'Table II - Government Transfers'!D17</f>
        <v>336.76</v>
      </c>
      <c r="F25" s="375" t="s">
        <v>31</v>
      </c>
      <c r="G25" s="311">
        <f t="shared" si="0"/>
        <v>1684.2524999999998</v>
      </c>
      <c r="H25" s="310">
        <f t="shared" si="1"/>
        <v>1684.2524999999998</v>
      </c>
      <c r="I25" s="374">
        <f t="shared" si="1"/>
        <v>3368.5049999999997</v>
      </c>
    </row>
    <row r="26" spans="1:9" ht="16" thickBot="1">
      <c r="A26" s="288" t="s">
        <v>16</v>
      </c>
      <c r="B26" s="289">
        <f>SUM(B20:B25)</f>
        <v>1451.0808333333332</v>
      </c>
      <c r="C26" s="290">
        <f>SUM(C20:C25)</f>
        <v>8999.8649999999998</v>
      </c>
      <c r="F26" s="320" t="s">
        <v>32</v>
      </c>
      <c r="G26" s="311">
        <f t="shared" si="0"/>
        <v>840.75565500000039</v>
      </c>
      <c r="H26" s="310">
        <f t="shared" si="1"/>
        <v>2858.0351549999996</v>
      </c>
      <c r="I26" s="374">
        <f t="shared" si="1"/>
        <v>3698.79081</v>
      </c>
    </row>
    <row r="27" spans="1:9" ht="18" thickBot="1">
      <c r="A27" s="5"/>
      <c r="B27" s="15"/>
      <c r="C27" s="15"/>
      <c r="D27" s="19"/>
      <c r="E27" s="18"/>
      <c r="F27" s="320" t="s">
        <v>33</v>
      </c>
      <c r="G27" s="311">
        <f t="shared" si="0"/>
        <v>888.58730609999975</v>
      </c>
      <c r="H27" s="310">
        <f t="shared" si="1"/>
        <v>2086.7605960999999</v>
      </c>
      <c r="I27" s="374">
        <f t="shared" si="1"/>
        <v>2975.3479021999997</v>
      </c>
    </row>
    <row r="28" spans="1:9" ht="18" thickBot="1">
      <c r="A28" s="332" t="s">
        <v>19</v>
      </c>
      <c r="B28" s="333"/>
      <c r="C28" s="334"/>
      <c r="D28" s="1"/>
      <c r="E28" s="18"/>
      <c r="F28" s="322" t="s">
        <v>35</v>
      </c>
      <c r="G28" s="376">
        <f>B46</f>
        <v>31605.2247389</v>
      </c>
      <c r="H28" s="376">
        <f>C46</f>
        <v>28389.771948900001</v>
      </c>
      <c r="I28" s="377">
        <f>D46</f>
        <v>59994.996687799998</v>
      </c>
    </row>
    <row r="29" spans="1:9">
      <c r="A29" s="340"/>
      <c r="B29" s="6"/>
      <c r="C29" s="341" t="s">
        <v>3</v>
      </c>
      <c r="D29" s="7"/>
      <c r="E29" s="5"/>
    </row>
    <row r="30" spans="1:9">
      <c r="A30" s="163" t="s">
        <v>20</v>
      </c>
      <c r="B30" s="48"/>
      <c r="C30" s="342">
        <f>C26+D46</f>
        <v>68994.861687800003</v>
      </c>
      <c r="D30" s="1"/>
      <c r="E30" s="5"/>
    </row>
    <row r="31" spans="1:9" ht="16" thickBot="1">
      <c r="A31" s="163" t="s">
        <v>21</v>
      </c>
      <c r="B31" s="48"/>
      <c r="C31" s="342">
        <f>C16</f>
        <v>68927.952916194816</v>
      </c>
      <c r="D31" s="1"/>
      <c r="E31" s="2"/>
    </row>
    <row r="32" spans="1:9" ht="16" thickBot="1">
      <c r="A32" s="343" t="s">
        <v>22</v>
      </c>
      <c r="B32" s="344"/>
      <c r="C32" s="345">
        <f>C30-C31</f>
        <v>66.908771605187212</v>
      </c>
      <c r="D32" s="1"/>
      <c r="E32" s="1"/>
    </row>
    <row r="33" spans="1:11" ht="16" thickBot="1">
      <c r="A33" s="5"/>
      <c r="B33" s="15"/>
      <c r="C33" s="15"/>
      <c r="D33" s="1"/>
      <c r="E33" s="1"/>
    </row>
    <row r="34" spans="1:11" ht="17">
      <c r="A34" s="332" t="s">
        <v>23</v>
      </c>
      <c r="B34" s="333"/>
      <c r="C34" s="333"/>
      <c r="D34" s="346"/>
      <c r="E34" s="1"/>
      <c r="H34" s="5"/>
      <c r="I34" s="1"/>
      <c r="J34" s="1"/>
    </row>
    <row r="35" spans="1:11">
      <c r="A35" s="347" t="s">
        <v>24</v>
      </c>
      <c r="B35" s="271" t="s">
        <v>25</v>
      </c>
      <c r="C35" s="272" t="s">
        <v>26</v>
      </c>
      <c r="D35" s="348" t="s">
        <v>16</v>
      </c>
      <c r="E35" s="1"/>
      <c r="H35" s="1"/>
      <c r="I35" s="25" t="s">
        <v>91</v>
      </c>
    </row>
    <row r="36" spans="1:11">
      <c r="A36" s="349" t="s">
        <v>27</v>
      </c>
      <c r="B36" s="300">
        <v>35</v>
      </c>
      <c r="C36" s="301">
        <v>35</v>
      </c>
      <c r="D36" s="350">
        <f>B36+C36</f>
        <v>70</v>
      </c>
      <c r="E36" s="4"/>
    </row>
    <row r="37" spans="1:11" ht="19">
      <c r="A37" s="351" t="s">
        <v>28</v>
      </c>
      <c r="B37" s="302">
        <v>19.55</v>
      </c>
      <c r="C37" s="302">
        <f>B37</f>
        <v>19.55</v>
      </c>
      <c r="D37" s="352"/>
    </row>
    <row r="38" spans="1:11" ht="17">
      <c r="A38" s="356" t="s">
        <v>312</v>
      </c>
      <c r="B38" s="280">
        <f>(B37*B36)*52</f>
        <v>35581</v>
      </c>
      <c r="C38" s="280">
        <f>(C37*C36)*52</f>
        <v>35581</v>
      </c>
      <c r="D38" s="400">
        <f>B38+C38</f>
        <v>71162</v>
      </c>
      <c r="E38" s="32"/>
    </row>
    <row r="39" spans="1:11">
      <c r="A39" s="354" t="s">
        <v>308</v>
      </c>
      <c r="B39" s="306">
        <f>-MIN(C10,'Table IV - Taxes and Credits'!C65)</f>
        <v>-13000</v>
      </c>
      <c r="C39" s="303"/>
      <c r="D39" s="355"/>
      <c r="E39" s="1"/>
      <c r="I39" s="1"/>
    </row>
    <row r="40" spans="1:11">
      <c r="A40" s="353" t="s">
        <v>29</v>
      </c>
      <c r="B40" s="307">
        <f>B38+B39</f>
        <v>22581</v>
      </c>
      <c r="C40" s="307">
        <f>C38+C39</f>
        <v>35581</v>
      </c>
      <c r="D40" s="357">
        <f t="shared" ref="D40:D47" si="2">B40+C40</f>
        <v>58162</v>
      </c>
      <c r="E40" s="1"/>
      <c r="I40" s="1"/>
    </row>
    <row r="41" spans="1:11">
      <c r="A41" s="353" t="s">
        <v>30</v>
      </c>
      <c r="B41" s="304">
        <f>'Table IV - Taxes and Credits'!C8</f>
        <v>562.1798</v>
      </c>
      <c r="C41" s="304">
        <f>'Table IV - Taxes and Credits'!D8</f>
        <v>562.1798</v>
      </c>
      <c r="D41" s="358">
        <f t="shared" si="2"/>
        <v>1124.3596</v>
      </c>
      <c r="E41" s="1"/>
      <c r="I41" s="1"/>
    </row>
    <row r="42" spans="1:11">
      <c r="A42" s="353" t="s">
        <v>31</v>
      </c>
      <c r="B42" s="305">
        <f>'Table IV - Taxes and Credits'!C13</f>
        <v>1684.2524999999998</v>
      </c>
      <c r="C42" s="305">
        <f>'Table IV - Taxes and Credits'!D13</f>
        <v>1684.2524999999998</v>
      </c>
      <c r="D42" s="358">
        <f t="shared" si="2"/>
        <v>3368.5049999999997</v>
      </c>
      <c r="J42" s="1"/>
      <c r="K42" s="1"/>
    </row>
    <row r="43" spans="1:11">
      <c r="A43" s="353" t="s">
        <v>32</v>
      </c>
      <c r="B43" s="307">
        <f>MAX(0,((B40*'Table IV - Taxes and Credits'!D40)-(('Table IV - Taxes and Credits'!D16+'Table IV - Taxes and Credits'!C70+B41+B42+'Table IV - Taxes and Credits'!D22)*'Table IV - Taxes and Credits'!D21)))</f>
        <v>840.75565500000039</v>
      </c>
      <c r="C43" s="307">
        <f>MAX(0,(C40*'Table IV - Taxes and Credits'!D40-('Table IV - Taxes and Credits'!D16+'Table IV - Taxes and Credits'!D22+C41+C42+'Table IV - Taxes and Credits'!C74)*'Table IV - Taxes and Credits'!D21))</f>
        <v>2858.0351549999996</v>
      </c>
      <c r="D43" s="358">
        <f t="shared" si="2"/>
        <v>3698.79081</v>
      </c>
      <c r="J43" s="1"/>
      <c r="K43" s="1"/>
    </row>
    <row r="44" spans="1:11">
      <c r="A44" s="353" t="s">
        <v>33</v>
      </c>
      <c r="B44" s="307">
        <f>MAX(0,((B40*'Table IV - Taxes and Credits'!D32)-(('Table IV - Taxes and Credits'!C16+'Table IV - Taxes and Credits'!C71+B41+B42)*'Table IV - Taxes and Credits'!C21)))</f>
        <v>888.58730609999975</v>
      </c>
      <c r="C44" s="307">
        <f>MAX(0,(((C40*'Table IV - Taxes and Credits'!D32)-(('Table IV - Taxes and Credits'!C16+C41+C42+'Table IV - Taxes and Credits'!C75)*'Table IV - Taxes and Credits'!C21))-'Table IV - Taxes and Credits'!C28))</f>
        <v>2086.7605960999999</v>
      </c>
      <c r="D44" s="358">
        <f t="shared" si="2"/>
        <v>2975.3479021999997</v>
      </c>
      <c r="G44" s="1"/>
      <c r="H44" s="1"/>
      <c r="I44" s="4"/>
      <c r="J44" s="1"/>
      <c r="K44" s="1"/>
    </row>
    <row r="45" spans="1:11">
      <c r="A45" s="353" t="s">
        <v>34</v>
      </c>
      <c r="B45" s="307">
        <f>IF(D40&lt;50704, IF((0.25*(C11-B40*0.03) - 0.05*(D40-26644))&gt;0, -1*(0.25*(C11-B40*0.03) - 0.05*(D40-26644)),0),0)</f>
        <v>0</v>
      </c>
      <c r="C45" s="305">
        <f>'Table IV - Taxes and Credits'!C53</f>
        <v>0</v>
      </c>
      <c r="D45" s="358">
        <f t="shared" si="2"/>
        <v>0</v>
      </c>
      <c r="E45" s="4"/>
      <c r="F45" s="1"/>
      <c r="G45" s="1"/>
      <c r="H45" s="1"/>
      <c r="I45" s="1"/>
      <c r="J45" s="4"/>
      <c r="K45" s="1"/>
    </row>
    <row r="46" spans="1:11">
      <c r="A46" s="351" t="s">
        <v>35</v>
      </c>
      <c r="B46" s="401">
        <f>B38-SUM(B41:B45)</f>
        <v>31605.2247389</v>
      </c>
      <c r="C46" s="401">
        <f>C38-SUM(C41:C45)</f>
        <v>28389.771948900001</v>
      </c>
      <c r="D46" s="402">
        <f t="shared" si="2"/>
        <v>59994.996687799998</v>
      </c>
      <c r="E46" s="1"/>
      <c r="F46" s="1"/>
      <c r="G46" s="1"/>
      <c r="H46" s="1"/>
      <c r="I46" s="1"/>
      <c r="J46" s="1"/>
      <c r="K46" s="1"/>
    </row>
    <row r="47" spans="1:11" ht="16" thickBot="1">
      <c r="A47" s="359" t="s">
        <v>36</v>
      </c>
      <c r="B47" s="360">
        <f>B46/12</f>
        <v>2633.7687282416668</v>
      </c>
      <c r="C47" s="360">
        <f>C46/12</f>
        <v>2365.8143290749999</v>
      </c>
      <c r="D47" s="361">
        <f t="shared" si="2"/>
        <v>4999.5830573166668</v>
      </c>
      <c r="F47" s="1"/>
      <c r="G47" s="1"/>
      <c r="H47" s="1"/>
      <c r="I47" s="1"/>
      <c r="J47" s="1"/>
      <c r="K47" s="1"/>
    </row>
    <row r="48" spans="1:11" ht="16" thickBot="1">
      <c r="F48" s="4"/>
      <c r="G48" s="1"/>
      <c r="H48" s="1"/>
      <c r="I48" s="1"/>
      <c r="J48" s="1"/>
      <c r="K48" s="1"/>
    </row>
    <row r="49" spans="1:15" ht="17">
      <c r="A49" s="362" t="s">
        <v>37</v>
      </c>
      <c r="B49" s="363"/>
      <c r="C49" s="363"/>
      <c r="D49" s="364"/>
      <c r="F49" s="1"/>
      <c r="G49" s="1"/>
      <c r="H49" s="1"/>
      <c r="I49" s="1"/>
      <c r="J49" s="1"/>
      <c r="K49" s="1"/>
    </row>
    <row r="50" spans="1:15">
      <c r="A50" s="413" t="s">
        <v>38</v>
      </c>
      <c r="B50" s="414"/>
      <c r="C50" s="415"/>
      <c r="D50" s="365">
        <f xml:space="preserve"> D38</f>
        <v>71162</v>
      </c>
      <c r="F50" s="1"/>
      <c r="G50" s="1"/>
      <c r="H50" s="1"/>
      <c r="I50" s="1"/>
      <c r="J50" s="1"/>
      <c r="K50" s="4"/>
    </row>
    <row r="51" spans="1:15">
      <c r="A51" s="413" t="s">
        <v>39</v>
      </c>
      <c r="B51" s="414"/>
      <c r="C51" s="415"/>
      <c r="D51" s="365">
        <f>SUM(B41:B44)+SUM(C41:C44)</f>
        <v>11167.0033122</v>
      </c>
      <c r="F51" s="1"/>
      <c r="G51" s="1"/>
      <c r="H51" s="1"/>
      <c r="I51" s="1"/>
      <c r="J51" s="1"/>
      <c r="K51" s="1"/>
    </row>
    <row r="52" spans="1:15">
      <c r="A52" s="413" t="s">
        <v>40</v>
      </c>
      <c r="B52" s="414"/>
      <c r="C52" s="415"/>
      <c r="D52" s="365">
        <f>D50-D51</f>
        <v>59994.996687799998</v>
      </c>
    </row>
    <row r="53" spans="1:15">
      <c r="A53" s="413" t="s">
        <v>116</v>
      </c>
      <c r="B53" s="414"/>
      <c r="C53" s="415"/>
      <c r="D53" s="365">
        <f>C26</f>
        <v>8999.8649999999998</v>
      </c>
      <c r="F53" s="1"/>
      <c r="G53" s="4"/>
      <c r="J53" s="1"/>
      <c r="K53" s="1"/>
    </row>
    <row r="54" spans="1:15">
      <c r="A54" s="413" t="s">
        <v>41</v>
      </c>
      <c r="B54" s="414"/>
      <c r="C54" s="415"/>
      <c r="D54" s="365">
        <f>D52+D53</f>
        <v>68994.861687800003</v>
      </c>
      <c r="F54" s="1"/>
      <c r="G54" s="1"/>
      <c r="K54" s="1"/>
    </row>
    <row r="55" spans="1:15">
      <c r="A55" s="413" t="s">
        <v>42</v>
      </c>
      <c r="B55" s="414"/>
      <c r="C55" s="415"/>
      <c r="D55" s="365">
        <f>C16</f>
        <v>68927.952916194816</v>
      </c>
      <c r="F55" s="1"/>
      <c r="G55" s="1"/>
      <c r="K55" s="1"/>
    </row>
    <row r="56" spans="1:15" ht="16" thickBot="1">
      <c r="A56" s="408" t="s">
        <v>43</v>
      </c>
      <c r="B56" s="409"/>
      <c r="C56" s="410"/>
      <c r="D56" s="366">
        <f>D54-D55</f>
        <v>66.908771605187212</v>
      </c>
      <c r="J56" s="1"/>
      <c r="K56" s="1"/>
      <c r="O56" s="1"/>
    </row>
    <row r="57" spans="1:15">
      <c r="J57" s="1"/>
      <c r="K57" s="1"/>
      <c r="O57" s="1"/>
    </row>
    <row r="58" spans="1:15">
      <c r="J58" s="1"/>
      <c r="K58" s="1"/>
      <c r="O58" s="1"/>
    </row>
    <row r="59" spans="1:15">
      <c r="K59" s="1"/>
    </row>
    <row r="60" spans="1:15">
      <c r="K60" s="1"/>
    </row>
    <row r="61" spans="1:15">
      <c r="K61" s="1"/>
    </row>
    <row r="62" spans="1:15">
      <c r="K62" s="1"/>
    </row>
  </sheetData>
  <mergeCells count="9">
    <mergeCell ref="A56:C56"/>
    <mergeCell ref="A1:G1"/>
    <mergeCell ref="A2:B2"/>
    <mergeCell ref="A50:C50"/>
    <mergeCell ref="A51:C51"/>
    <mergeCell ref="A52:C52"/>
    <mergeCell ref="A53:C53"/>
    <mergeCell ref="A54:C54"/>
    <mergeCell ref="A55:C55"/>
  </mergeCells>
  <pageMargins left="0.7" right="0.7" top="0.75" bottom="0.75" header="0.3" footer="0.3"/>
  <pageSetup orientation="portrait"/>
  <tableParts count="3">
    <tablePart r:id="rId1"/>
    <tablePart r:id="rId2"/>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89"/>
  <sheetViews>
    <sheetView topLeftCell="B62" zoomScale="110" zoomScaleNormal="110" workbookViewId="0">
      <selection activeCell="L87" sqref="L87"/>
    </sheetView>
  </sheetViews>
  <sheetFormatPr baseColWidth="10" defaultColWidth="8.83203125" defaultRowHeight="15"/>
  <cols>
    <col min="1" max="1" width="3.1640625" style="25" customWidth="1"/>
    <col min="2" max="2" width="23" customWidth="1"/>
    <col min="7" max="7" width="13.1640625" customWidth="1"/>
    <col min="8" max="8" width="30.33203125" customWidth="1"/>
    <col min="9" max="9" width="12.5" customWidth="1"/>
    <col min="10" max="10" width="8.83203125" customWidth="1"/>
    <col min="12" max="12" width="37.5" customWidth="1"/>
  </cols>
  <sheetData>
    <row r="1" spans="2:18">
      <c r="B1" t="s">
        <v>316</v>
      </c>
    </row>
    <row r="2" spans="2:18">
      <c r="B2" t="s">
        <v>317</v>
      </c>
    </row>
    <row r="4" spans="2:18">
      <c r="B4" t="s">
        <v>318</v>
      </c>
    </row>
    <row r="6" spans="2:18">
      <c r="B6" t="s">
        <v>319</v>
      </c>
    </row>
    <row r="7" spans="2:18" s="25" customFormat="1">
      <c r="L7" s="89"/>
    </row>
    <row r="8" spans="2:18" s="25" customFormat="1">
      <c r="L8" s="89"/>
    </row>
    <row r="9" spans="2:18" ht="16" thickBot="1">
      <c r="L9" s="89" t="s">
        <v>258</v>
      </c>
    </row>
    <row r="10" spans="2:18" ht="18" thickBot="1">
      <c r="B10" s="56" t="s">
        <v>17</v>
      </c>
      <c r="C10" s="25"/>
      <c r="D10" s="25"/>
      <c r="E10" s="25"/>
      <c r="H10" s="382" t="s">
        <v>278</v>
      </c>
      <c r="I10" s="273"/>
      <c r="J10" s="273"/>
      <c r="K10" s="274"/>
      <c r="L10" s="268" t="s">
        <v>177</v>
      </c>
      <c r="M10" s="268"/>
      <c r="N10" s="268"/>
      <c r="O10" s="268"/>
      <c r="P10" s="268"/>
      <c r="Q10" s="268"/>
      <c r="R10" s="268"/>
    </row>
    <row r="11" spans="2:18">
      <c r="B11" s="57" t="s">
        <v>18</v>
      </c>
      <c r="C11" s="58" t="s">
        <v>143</v>
      </c>
      <c r="D11" s="58" t="s">
        <v>144</v>
      </c>
      <c r="E11" s="59" t="s">
        <v>145</v>
      </c>
      <c r="H11" s="383" t="s">
        <v>171</v>
      </c>
      <c r="I11" s="380" t="s">
        <v>25</v>
      </c>
      <c r="J11" s="380" t="s">
        <v>26</v>
      </c>
      <c r="K11" s="384" t="s">
        <v>16</v>
      </c>
      <c r="L11" s="269" t="s">
        <v>198</v>
      </c>
      <c r="M11" s="268"/>
      <c r="N11" s="268"/>
      <c r="O11" s="268"/>
      <c r="P11" s="268"/>
      <c r="Q11" s="268"/>
      <c r="R11" s="268"/>
    </row>
    <row r="12" spans="2:18">
      <c r="B12" s="60" t="s">
        <v>102</v>
      </c>
      <c r="C12" s="299">
        <f>D12/12</f>
        <v>0</v>
      </c>
      <c r="D12" s="299">
        <f>I27</f>
        <v>0</v>
      </c>
      <c r="E12" s="61"/>
      <c r="H12" s="385" t="s">
        <v>162</v>
      </c>
      <c r="I12" s="381">
        <f>'2020 Living Wage Income'!G20</f>
        <v>35581</v>
      </c>
      <c r="J12" s="381">
        <f>'2020 Living Wage Income'!H20</f>
        <v>35581</v>
      </c>
      <c r="K12" s="386">
        <f>'2020 Living Wage Income'!I20</f>
        <v>71162</v>
      </c>
    </row>
    <row r="13" spans="2:18">
      <c r="B13" s="60" t="s">
        <v>103</v>
      </c>
      <c r="C13" s="299">
        <f>D13/12</f>
        <v>20.833333333333332</v>
      </c>
      <c r="D13" s="299">
        <f>I35</f>
        <v>250</v>
      </c>
      <c r="E13" s="61"/>
      <c r="H13" s="385" t="s">
        <v>163</v>
      </c>
      <c r="I13" s="381">
        <f>'2020 Living Wage Income'!G21</f>
        <v>14866.34</v>
      </c>
      <c r="J13" s="381">
        <f>'2020 Living Wage Income'!H21</f>
        <v>0</v>
      </c>
      <c r="K13" s="386">
        <f>'2020 Living Wage Income'!I21</f>
        <v>14866.34</v>
      </c>
    </row>
    <row r="14" spans="2:18">
      <c r="B14" s="60" t="s">
        <v>146</v>
      </c>
      <c r="C14" s="299">
        <f>D14/6</f>
        <v>686.32333333333327</v>
      </c>
      <c r="D14" s="299">
        <f>I58</f>
        <v>4117.9399999999996</v>
      </c>
      <c r="E14" s="61"/>
      <c r="H14" s="385" t="s">
        <v>164</v>
      </c>
      <c r="I14" s="381">
        <f>'2020 Living Wage Income'!G22</f>
        <v>-13000</v>
      </c>
      <c r="J14" s="381">
        <f>'2020 Living Wage Income'!H22</f>
        <v>0</v>
      </c>
      <c r="K14" s="386">
        <f>'2020 Living Wage Income'!I22</f>
        <v>-13000</v>
      </c>
    </row>
    <row r="15" spans="2:18">
      <c r="B15" s="60" t="s">
        <v>147</v>
      </c>
      <c r="C15" s="299">
        <f>D15/6</f>
        <v>715.86083333333329</v>
      </c>
      <c r="D15" s="299">
        <f>I59</f>
        <v>4295.165</v>
      </c>
      <c r="E15" s="61"/>
      <c r="H15" s="385" t="s">
        <v>165</v>
      </c>
      <c r="I15" s="381">
        <f>'2020 Living Wage Income'!G23</f>
        <v>22581</v>
      </c>
      <c r="J15" s="381">
        <f>'2020 Living Wage Income'!H23</f>
        <v>35581</v>
      </c>
      <c r="K15" s="386">
        <f>'2020 Living Wage Income'!I23</f>
        <v>58162</v>
      </c>
    </row>
    <row r="16" spans="2:18">
      <c r="B16" s="60" t="s">
        <v>148</v>
      </c>
      <c r="C16" s="299">
        <f>D16/12</f>
        <v>0</v>
      </c>
      <c r="D16" s="299">
        <f>I76</f>
        <v>0</v>
      </c>
      <c r="E16" s="61"/>
      <c r="H16" s="385" t="s">
        <v>166</v>
      </c>
      <c r="I16" s="381">
        <f>'2020 Living Wage Income'!G24</f>
        <v>562.1798</v>
      </c>
      <c r="J16" s="381">
        <f>'2020 Living Wage Income'!H24</f>
        <v>562.1798</v>
      </c>
      <c r="K16" s="386">
        <f>'2020 Living Wage Income'!I24</f>
        <v>1124.3596</v>
      </c>
    </row>
    <row r="17" spans="2:12">
      <c r="B17" s="60" t="s">
        <v>112</v>
      </c>
      <c r="C17" s="299">
        <f>D17/12</f>
        <v>28.063333333333333</v>
      </c>
      <c r="D17" s="299">
        <f>I86</f>
        <v>336.76</v>
      </c>
      <c r="E17" s="61"/>
      <c r="H17" s="385" t="s">
        <v>167</v>
      </c>
      <c r="I17" s="381">
        <f>'2020 Living Wage Income'!G25</f>
        <v>1684.2524999999998</v>
      </c>
      <c r="J17" s="381">
        <f>'2020 Living Wage Income'!H25</f>
        <v>1684.2524999999998</v>
      </c>
      <c r="K17" s="386">
        <f>'2020 Living Wage Income'!I25</f>
        <v>3368.5049999999997</v>
      </c>
    </row>
    <row r="18" spans="2:12">
      <c r="B18" s="60"/>
      <c r="C18" s="378"/>
      <c r="D18" s="379"/>
      <c r="E18" s="61"/>
      <c r="H18" s="385" t="s">
        <v>168</v>
      </c>
      <c r="I18" s="381">
        <f>'2020 Living Wage Income'!G26</f>
        <v>840.75565500000039</v>
      </c>
      <c r="J18" s="381">
        <f>'2020 Living Wage Income'!H26</f>
        <v>2858.0351549999996</v>
      </c>
      <c r="K18" s="386">
        <f>'2020 Living Wage Income'!I26</f>
        <v>3698.79081</v>
      </c>
    </row>
    <row r="19" spans="2:12">
      <c r="B19" s="60"/>
      <c r="C19" s="378"/>
      <c r="D19" s="379"/>
      <c r="E19" s="61"/>
      <c r="H19" s="385" t="s">
        <v>169</v>
      </c>
      <c r="I19" s="381">
        <f>'2020 Living Wage Income'!G27</f>
        <v>888.58730609999975</v>
      </c>
      <c r="J19" s="381">
        <f>'2020 Living Wage Income'!H27</f>
        <v>2086.7605960999999</v>
      </c>
      <c r="K19" s="386">
        <f>'2020 Living Wage Income'!I27</f>
        <v>2975.3479021999997</v>
      </c>
    </row>
    <row r="20" spans="2:12" ht="16" thickBot="1">
      <c r="B20" s="60"/>
      <c r="C20" s="37"/>
      <c r="D20" s="37"/>
      <c r="E20" s="61"/>
      <c r="H20" s="387" t="s">
        <v>170</v>
      </c>
      <c r="I20" s="388">
        <f>'2020 Living Wage Income'!G28</f>
        <v>31605.2247389</v>
      </c>
      <c r="J20" s="388">
        <f>'2020 Living Wage Income'!H28</f>
        <v>28389.771948900001</v>
      </c>
      <c r="K20" s="389">
        <f>'2020 Living Wage Income'!I28</f>
        <v>59994.996687799998</v>
      </c>
    </row>
    <row r="21" spans="2:12" ht="16" thickBot="1">
      <c r="B21" s="62"/>
      <c r="C21" s="63"/>
      <c r="D21" s="63"/>
      <c r="E21" s="64"/>
    </row>
    <row r="22" spans="2:12" ht="16" thickBot="1">
      <c r="H22" s="421" t="s">
        <v>157</v>
      </c>
      <c r="I22" s="422"/>
    </row>
    <row r="23" spans="2:12" ht="19">
      <c r="B23" s="419" t="s">
        <v>149</v>
      </c>
      <c r="C23" s="420"/>
      <c r="D23" s="25"/>
      <c r="E23" s="25"/>
      <c r="F23" s="25"/>
      <c r="G23" s="25"/>
      <c r="H23" s="67" t="s">
        <v>320</v>
      </c>
      <c r="I23" s="101">
        <v>20000</v>
      </c>
      <c r="L23" s="25" t="s">
        <v>268</v>
      </c>
    </row>
    <row r="24" spans="2:12">
      <c r="B24" s="60" t="s">
        <v>150</v>
      </c>
      <c r="C24" s="391">
        <f>COUNTIF(C25:C26,"&lt;18")</f>
        <v>2</v>
      </c>
      <c r="D24" s="25"/>
      <c r="E24" s="25"/>
      <c r="F24" s="25"/>
      <c r="G24" s="25"/>
      <c r="H24" s="67" t="s">
        <v>158</v>
      </c>
      <c r="I24" s="101">
        <v>250</v>
      </c>
    </row>
    <row r="25" spans="2:12">
      <c r="B25" s="60" t="s">
        <v>151</v>
      </c>
      <c r="C25" s="392">
        <v>2</v>
      </c>
      <c r="D25" s="25"/>
      <c r="E25" s="25"/>
      <c r="F25" s="25"/>
      <c r="G25" s="25"/>
      <c r="H25" s="67" t="s">
        <v>159</v>
      </c>
      <c r="I25" s="99">
        <v>2.5000000000000001E-2</v>
      </c>
    </row>
    <row r="26" spans="2:12">
      <c r="B26" s="60" t="s">
        <v>152</v>
      </c>
      <c r="C26" s="392">
        <v>7</v>
      </c>
      <c r="D26" s="25"/>
      <c r="E26" s="25"/>
      <c r="F26" s="25"/>
      <c r="G26" s="25"/>
      <c r="H26" s="67" t="s">
        <v>160</v>
      </c>
      <c r="I26" s="102">
        <v>0.05</v>
      </c>
    </row>
    <row r="27" spans="2:12" ht="16" thickBot="1">
      <c r="B27" s="60"/>
      <c r="C27" s="151"/>
      <c r="D27" s="25"/>
      <c r="E27" s="25"/>
      <c r="F27" s="25"/>
      <c r="G27" s="25"/>
      <c r="H27" s="68" t="s">
        <v>161</v>
      </c>
      <c r="I27" s="390">
        <f>MAX(0,(I24*IF(C24=1,I25,IF(C24=2,I26,"error")))-((K15-I23)*IF(C24=1,I25,IF(C24=2,I26,"error"))))</f>
        <v>0</v>
      </c>
    </row>
    <row r="28" spans="2:12" ht="16" thickBot="1">
      <c r="B28" s="65" t="s">
        <v>153</v>
      </c>
      <c r="C28" s="393">
        <v>0</v>
      </c>
      <c r="D28" s="26" t="s">
        <v>154</v>
      </c>
      <c r="E28" s="25"/>
      <c r="F28" s="25"/>
      <c r="G28" s="25"/>
    </row>
    <row r="29" spans="2:12">
      <c r="B29" s="65" t="s">
        <v>153</v>
      </c>
      <c r="C29" s="394">
        <f>C28*0</f>
        <v>0</v>
      </c>
      <c r="D29" s="26" t="s">
        <v>155</v>
      </c>
      <c r="E29" s="25"/>
      <c r="F29" s="25"/>
      <c r="G29" s="25"/>
      <c r="H29" s="421" t="s">
        <v>172</v>
      </c>
      <c r="I29" s="422"/>
    </row>
    <row r="30" spans="2:12" ht="16" thickBot="1">
      <c r="B30" s="66" t="s">
        <v>153</v>
      </c>
      <c r="C30" s="395">
        <f>C29</f>
        <v>0</v>
      </c>
      <c r="D30" s="26" t="s">
        <v>156</v>
      </c>
      <c r="E30" s="25"/>
      <c r="F30" s="25"/>
      <c r="G30" s="25"/>
      <c r="H30" s="67" t="s">
        <v>173</v>
      </c>
      <c r="I30" s="101">
        <v>250</v>
      </c>
      <c r="L30" s="25" t="s">
        <v>268</v>
      </c>
    </row>
    <row r="31" spans="2:12">
      <c r="H31" s="67" t="s">
        <v>174</v>
      </c>
      <c r="I31" s="106">
        <v>0.04</v>
      </c>
    </row>
    <row r="32" spans="2:12">
      <c r="H32" s="67" t="s">
        <v>321</v>
      </c>
      <c r="I32" s="101">
        <v>3750</v>
      </c>
    </row>
    <row r="33" spans="8:12">
      <c r="H33" s="67" t="s">
        <v>175</v>
      </c>
      <c r="I33" s="106">
        <v>0.05</v>
      </c>
    </row>
    <row r="34" spans="8:12">
      <c r="H34" s="67" t="s">
        <v>322</v>
      </c>
      <c r="I34" s="107">
        <v>20921</v>
      </c>
    </row>
    <row r="35" spans="8:12" ht="16" thickBot="1">
      <c r="H35" s="68" t="s">
        <v>176</v>
      </c>
      <c r="I35" s="103">
        <f>MIN(I30,(I31*(K12-I32))-(I33*(K15-I34)))</f>
        <v>250</v>
      </c>
    </row>
    <row r="36" spans="8:12" ht="16" thickBot="1"/>
    <row r="37" spans="8:12">
      <c r="H37" s="421" t="s">
        <v>269</v>
      </c>
      <c r="I37" s="422"/>
      <c r="J37" s="25"/>
    </row>
    <row r="38" spans="8:12">
      <c r="H38" s="148" t="s">
        <v>280</v>
      </c>
      <c r="I38" s="61"/>
      <c r="J38" s="25"/>
    </row>
    <row r="39" spans="8:12">
      <c r="H39" s="149" t="s">
        <v>323</v>
      </c>
      <c r="I39" s="150">
        <v>30450</v>
      </c>
      <c r="J39" s="25"/>
      <c r="L39" t="s">
        <v>287</v>
      </c>
    </row>
    <row r="40" spans="8:12">
      <c r="H40" s="149" t="s">
        <v>324</v>
      </c>
      <c r="I40" s="150">
        <v>65976</v>
      </c>
      <c r="J40" s="25"/>
      <c r="L40" s="142" t="s">
        <v>288</v>
      </c>
    </row>
    <row r="41" spans="8:12">
      <c r="H41" s="69" t="s">
        <v>178</v>
      </c>
      <c r="I41" s="150">
        <v>6496</v>
      </c>
      <c r="J41" s="25"/>
    </row>
    <row r="42" spans="8:12">
      <c r="H42" s="69" t="s">
        <v>179</v>
      </c>
      <c r="I42" s="150">
        <v>5481</v>
      </c>
      <c r="J42" s="25"/>
    </row>
    <row r="43" spans="8:12">
      <c r="H43" s="148" t="s">
        <v>281</v>
      </c>
      <c r="I43" s="151"/>
      <c r="J43" s="25"/>
    </row>
    <row r="44" spans="8:12">
      <c r="H44" s="149" t="s">
        <v>323</v>
      </c>
      <c r="I44" s="150">
        <v>31120</v>
      </c>
      <c r="J44" s="25"/>
      <c r="L44" t="s">
        <v>286</v>
      </c>
    </row>
    <row r="45" spans="8:12">
      <c r="H45" s="149" t="s">
        <v>324</v>
      </c>
      <c r="I45" s="150">
        <v>67426</v>
      </c>
      <c r="J45" s="25"/>
      <c r="L45" s="142" t="s">
        <v>270</v>
      </c>
    </row>
    <row r="46" spans="8:12">
      <c r="H46" s="69" t="s">
        <v>178</v>
      </c>
      <c r="I46" s="150">
        <v>6639</v>
      </c>
      <c r="J46" s="25"/>
      <c r="L46" s="141"/>
    </row>
    <row r="47" spans="8:12">
      <c r="H47" s="69" t="s">
        <v>179</v>
      </c>
      <c r="I47" s="150">
        <v>5602</v>
      </c>
      <c r="J47" s="25"/>
    </row>
    <row r="48" spans="8:12" ht="16">
      <c r="H48" s="70" t="s">
        <v>180</v>
      </c>
      <c r="I48" s="61"/>
      <c r="J48" s="25"/>
    </row>
    <row r="49" spans="8:12">
      <c r="H49" s="69" t="s">
        <v>181</v>
      </c>
      <c r="I49" s="99">
        <v>7.0000000000000007E-2</v>
      </c>
      <c r="J49" s="25"/>
    </row>
    <row r="50" spans="8:12">
      <c r="H50" s="69" t="s">
        <v>182</v>
      </c>
      <c r="I50" s="99">
        <v>0.13500000000000001</v>
      </c>
      <c r="J50" s="25"/>
    </row>
    <row r="51" spans="8:12">
      <c r="H51" s="69" t="s">
        <v>183</v>
      </c>
      <c r="I51" s="99">
        <v>0.19</v>
      </c>
      <c r="J51" s="25"/>
    </row>
    <row r="52" spans="8:12">
      <c r="H52" s="69" t="s">
        <v>184</v>
      </c>
      <c r="I52" s="99">
        <v>0.23</v>
      </c>
      <c r="J52" s="25"/>
    </row>
    <row r="53" spans="8:12" ht="16">
      <c r="H53" s="70" t="s">
        <v>185</v>
      </c>
      <c r="I53" s="71"/>
      <c r="J53" s="25"/>
    </row>
    <row r="54" spans="8:12">
      <c r="H54" s="69" t="s">
        <v>181</v>
      </c>
      <c r="I54" s="99">
        <v>3.2000000000000001E-2</v>
      </c>
      <c r="J54" s="25"/>
    </row>
    <row r="55" spans="8:12">
      <c r="H55" s="69" t="s">
        <v>182</v>
      </c>
      <c r="I55" s="99">
        <v>5.7000000000000002E-2</v>
      </c>
      <c r="J55" s="25"/>
    </row>
    <row r="56" spans="8:12">
      <c r="H56" s="69" t="s">
        <v>183</v>
      </c>
      <c r="I56" s="99">
        <v>0.08</v>
      </c>
      <c r="J56" s="25"/>
    </row>
    <row r="57" spans="8:12">
      <c r="H57" s="69" t="s">
        <v>184</v>
      </c>
      <c r="I57" s="100">
        <v>9.5000000000000001E-2</v>
      </c>
      <c r="J57" s="25"/>
    </row>
    <row r="58" spans="8:12" ht="16">
      <c r="H58" s="72" t="s">
        <v>186</v>
      </c>
      <c r="I58" s="108">
        <f>0.5*IF(K15&lt;I39,(I41+I42),IF(K15&lt;I40,(I41+I42-(K15-I39)*I50),(I41+I42-(I40-I39)*I50-(K15-I40)*I55)))</f>
        <v>4117.9399999999996</v>
      </c>
      <c r="L58" s="25"/>
    </row>
    <row r="59" spans="8:12" ht="16">
      <c r="H59" s="73" t="s">
        <v>187</v>
      </c>
      <c r="I59" s="109">
        <f>0.5*IF(K15&lt;I44,(I46+I47),IF(K15&lt;I45,(I46+I47-(K15-I44)*I50),(I46+I47-(I45-I44)*I50-(K15-I45)*I55)))</f>
        <v>4295.165</v>
      </c>
      <c r="L59" s="25"/>
    </row>
    <row r="60" spans="8:12">
      <c r="H60" s="60" t="s">
        <v>188</v>
      </c>
      <c r="I60" s="110">
        <f>(I41+I42-(I40-I39)*I50)/I55+I40</f>
        <v>191958.28070175438</v>
      </c>
      <c r="J60" s="25"/>
    </row>
    <row r="61" spans="8:12" ht="16" thickBot="1">
      <c r="H61" s="62" t="s">
        <v>189</v>
      </c>
      <c r="I61" s="111">
        <f>(I46+I47-(I45-I44)*I50)/I55+I45</f>
        <v>196192.49122807017</v>
      </c>
      <c r="J61" s="25"/>
      <c r="L61" s="80"/>
    </row>
    <row r="62" spans="8:12" ht="16" thickBot="1"/>
    <row r="63" spans="8:12">
      <c r="H63" s="416" t="s">
        <v>90</v>
      </c>
      <c r="I63" s="417"/>
      <c r="J63" s="25"/>
      <c r="K63" s="25"/>
    </row>
    <row r="64" spans="8:12" s="25" customFormat="1">
      <c r="H64" s="152" t="s">
        <v>282</v>
      </c>
      <c r="I64" s="153"/>
    </row>
    <row r="65" spans="8:12">
      <c r="H65" s="20" t="s">
        <v>190</v>
      </c>
      <c r="I65" s="154">
        <v>284</v>
      </c>
      <c r="J65" s="25"/>
      <c r="K65" s="25"/>
      <c r="L65" s="25" t="s">
        <v>274</v>
      </c>
    </row>
    <row r="66" spans="8:12">
      <c r="H66" s="20" t="s">
        <v>273</v>
      </c>
      <c r="I66" s="154">
        <v>284</v>
      </c>
      <c r="J66" s="25"/>
      <c r="K66" s="25"/>
      <c r="L66" s="142" t="s">
        <v>275</v>
      </c>
    </row>
    <row r="67" spans="8:12">
      <c r="H67" s="20" t="s">
        <v>191</v>
      </c>
      <c r="I67" s="154">
        <v>149</v>
      </c>
      <c r="J67" s="25"/>
      <c r="K67" s="25"/>
    </row>
    <row r="68" spans="8:12">
      <c r="H68" s="20" t="s">
        <v>325</v>
      </c>
      <c r="I68" s="154">
        <v>36976</v>
      </c>
      <c r="J68" s="25"/>
      <c r="K68" s="25"/>
    </row>
    <row r="69" spans="8:12">
      <c r="H69" s="20" t="s">
        <v>192</v>
      </c>
      <c r="I69" s="155">
        <v>0.05</v>
      </c>
      <c r="J69" s="25"/>
      <c r="K69" s="25"/>
    </row>
    <row r="70" spans="8:12" s="25" customFormat="1">
      <c r="H70" s="152" t="s">
        <v>283</v>
      </c>
      <c r="I70" s="155"/>
    </row>
    <row r="71" spans="8:12" s="25" customFormat="1">
      <c r="H71" s="20" t="s">
        <v>190</v>
      </c>
      <c r="I71" s="154">
        <v>290</v>
      </c>
    </row>
    <row r="72" spans="8:12" s="25" customFormat="1">
      <c r="H72" s="20" t="s">
        <v>273</v>
      </c>
      <c r="I72" s="154">
        <v>290</v>
      </c>
    </row>
    <row r="73" spans="8:12" s="25" customFormat="1">
      <c r="H73" s="20" t="s">
        <v>191</v>
      </c>
      <c r="I73" s="154">
        <v>153</v>
      </c>
    </row>
    <row r="74" spans="8:12" s="25" customFormat="1">
      <c r="H74" s="20" t="s">
        <v>325</v>
      </c>
      <c r="I74" s="154">
        <v>37789</v>
      </c>
    </row>
    <row r="75" spans="8:12" s="25" customFormat="1">
      <c r="H75" s="20" t="s">
        <v>192</v>
      </c>
      <c r="I75" s="155">
        <v>0.05</v>
      </c>
    </row>
    <row r="76" spans="8:12">
      <c r="H76" s="20" t="s">
        <v>284</v>
      </c>
      <c r="I76" s="156">
        <f>MAX(0,(I65+I66+(I67*C24))-IF(K15&lt;I68,0,((K15-I68)*I69)))</f>
        <v>0</v>
      </c>
      <c r="J76" s="25"/>
      <c r="K76" s="25"/>
    </row>
    <row r="77" spans="8:12" s="25" customFormat="1">
      <c r="H77" s="157" t="s">
        <v>285</v>
      </c>
      <c r="I77" s="156">
        <f>MAX(0,(I71+I72+(I73*C24))-IF(K15&lt;I74,0,((K15-I74)*I75)))</f>
        <v>0</v>
      </c>
    </row>
    <row r="78" spans="8:12" ht="16" thickBot="1">
      <c r="H78" s="25"/>
      <c r="I78" s="25"/>
      <c r="J78" s="25"/>
      <c r="K78" s="25"/>
    </row>
    <row r="79" spans="8:12">
      <c r="H79" s="416" t="s">
        <v>112</v>
      </c>
      <c r="I79" s="417"/>
      <c r="J79" s="25"/>
      <c r="K79" s="25"/>
    </row>
    <row r="80" spans="8:12">
      <c r="H80" s="60" t="s">
        <v>322</v>
      </c>
      <c r="I80" s="104">
        <v>35000</v>
      </c>
      <c r="J80" s="25"/>
      <c r="K80" s="25"/>
      <c r="L80" t="s">
        <v>266</v>
      </c>
    </row>
    <row r="81" spans="8:12">
      <c r="H81" s="60" t="s">
        <v>193</v>
      </c>
      <c r="I81" s="104">
        <v>300</v>
      </c>
      <c r="J81" s="25"/>
      <c r="K81" s="25"/>
      <c r="L81" s="25" t="s">
        <v>267</v>
      </c>
    </row>
    <row r="82" spans="8:12">
      <c r="H82" s="60" t="s">
        <v>315</v>
      </c>
      <c r="I82" s="104">
        <v>600</v>
      </c>
      <c r="J82" s="25"/>
      <c r="K82" s="25"/>
    </row>
    <row r="83" spans="8:12">
      <c r="H83" s="60" t="s">
        <v>194</v>
      </c>
      <c r="I83" s="104">
        <v>600</v>
      </c>
      <c r="J83" s="25"/>
      <c r="K83" s="25"/>
    </row>
    <row r="84" spans="8:12">
      <c r="H84" s="60" t="s">
        <v>195</v>
      </c>
      <c r="I84" s="104">
        <v>100</v>
      </c>
      <c r="J84" s="25"/>
      <c r="K84" s="25"/>
    </row>
    <row r="85" spans="8:12">
      <c r="H85" s="60" t="s">
        <v>196</v>
      </c>
      <c r="I85" s="105">
        <v>0.02</v>
      </c>
      <c r="J85" s="25"/>
      <c r="K85" s="25"/>
    </row>
    <row r="86" spans="8:12" ht="16" thickBot="1">
      <c r="H86" s="62" t="s">
        <v>197</v>
      </c>
      <c r="I86" s="112">
        <f>MAX(0,IF(K15&lt;I80,I82+I84*C24,(I82+I84*C24)-I85*(K15-I80)))</f>
        <v>336.76</v>
      </c>
      <c r="K86" s="25"/>
      <c r="L86" s="25"/>
    </row>
    <row r="88" spans="8:12">
      <c r="H88" s="418"/>
      <c r="I88" s="418"/>
    </row>
    <row r="89" spans="8:12">
      <c r="H89" s="55"/>
      <c r="I89" s="55"/>
    </row>
  </sheetData>
  <mergeCells count="7">
    <mergeCell ref="H79:I79"/>
    <mergeCell ref="H88:I88"/>
    <mergeCell ref="B23:C23"/>
    <mergeCell ref="H22:I22"/>
    <mergeCell ref="H29:I29"/>
    <mergeCell ref="H37:I37"/>
    <mergeCell ref="H63:I63"/>
  </mergeCells>
  <hyperlinks>
    <hyperlink ref="L66" r:id="rId1" xr:uid="{2E4F88C6-5834-2A43-981D-62C4980C739A}"/>
    <hyperlink ref="L45" r:id="rId2" xr:uid="{49CA54F9-A9BB-9A4F-92AB-A0918E770014}"/>
  </hyperlinks>
  <pageMargins left="0.7" right="0.7" top="0.75" bottom="0.75" header="0.3" footer="0.3"/>
  <pageSetup orientation="portrait" horizontalDpi="0" verticalDpi="0"/>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76"/>
  <sheetViews>
    <sheetView topLeftCell="A50" zoomScale="140" zoomScaleNormal="140" workbookViewId="0">
      <selection activeCell="C54" sqref="C54"/>
    </sheetView>
  </sheetViews>
  <sheetFormatPr baseColWidth="10" defaultColWidth="8.83203125" defaultRowHeight="15"/>
  <cols>
    <col min="2" max="2" width="34.33203125" customWidth="1"/>
    <col min="3" max="3" width="10.1640625" bestFit="1" customWidth="1"/>
    <col min="7" max="7" width="47.83203125" customWidth="1"/>
    <col min="8" max="8" width="9.1640625" bestFit="1" customWidth="1"/>
  </cols>
  <sheetData>
    <row r="1" spans="1:9">
      <c r="A1" s="25" t="s">
        <v>199</v>
      </c>
      <c r="B1" s="25"/>
      <c r="C1" s="25"/>
      <c r="D1" s="25"/>
      <c r="E1" s="25"/>
    </row>
    <row r="2" spans="1:9">
      <c r="A2" s="26" t="s">
        <v>200</v>
      </c>
      <c r="B2" s="25"/>
      <c r="C2" s="25"/>
      <c r="D2" s="25"/>
      <c r="E2" s="25"/>
    </row>
    <row r="3" spans="1:9" ht="16" thickBot="1">
      <c r="A3" s="25"/>
      <c r="B3" s="25"/>
      <c r="C3" s="25"/>
      <c r="D3" s="25"/>
      <c r="E3" s="25"/>
    </row>
    <row r="4" spans="1:9" s="263" customFormat="1" ht="49" thickBot="1">
      <c r="B4" s="264" t="s">
        <v>28</v>
      </c>
      <c r="C4" s="265">
        <f>'2020 Living Wage Income'!B37</f>
        <v>19.55</v>
      </c>
      <c r="D4" s="266" t="s">
        <v>279</v>
      </c>
      <c r="G4" s="267" t="s">
        <v>297</v>
      </c>
    </row>
    <row r="5" spans="1:9" ht="16" thickBot="1">
      <c r="A5" s="25"/>
      <c r="B5" s="25"/>
      <c r="C5" s="25"/>
      <c r="D5" s="25"/>
      <c r="E5" s="25"/>
      <c r="I5" s="89"/>
    </row>
    <row r="6" spans="1:9" s="25" customFormat="1">
      <c r="B6" s="250" t="s">
        <v>232</v>
      </c>
      <c r="C6" s="256" t="s">
        <v>25</v>
      </c>
      <c r="D6" s="257" t="s">
        <v>26</v>
      </c>
      <c r="E6" s="37"/>
      <c r="F6" s="37"/>
      <c r="G6" s="37"/>
    </row>
    <row r="7" spans="1:9">
      <c r="A7" s="25"/>
      <c r="B7" s="251" t="s">
        <v>201</v>
      </c>
      <c r="C7" s="249">
        <v>1.5800000000000002E-2</v>
      </c>
      <c r="D7" s="252">
        <f>C7</f>
        <v>1.5800000000000002E-2</v>
      </c>
      <c r="E7" s="37"/>
      <c r="F7" s="37"/>
      <c r="G7" s="37"/>
      <c r="I7" s="25"/>
    </row>
    <row r="8" spans="1:9" s="25" customFormat="1" ht="16" thickBot="1">
      <c r="B8" s="253" t="s">
        <v>231</v>
      </c>
      <c r="C8" s="254">
        <f>$C$7*'2020 Living Wage Income'!B38</f>
        <v>562.1798</v>
      </c>
      <c r="D8" s="255">
        <f>$C$7*'2020 Living Wage Income'!C38</f>
        <v>562.1798</v>
      </c>
      <c r="E8" s="37"/>
      <c r="F8" s="37"/>
      <c r="G8" s="37"/>
    </row>
    <row r="9" spans="1:9" ht="16" thickBot="1">
      <c r="A9" s="25"/>
      <c r="B9" s="25"/>
      <c r="C9" s="25"/>
      <c r="D9" s="25"/>
      <c r="E9" s="25"/>
    </row>
    <row r="10" spans="1:9">
      <c r="A10" s="25"/>
      <c r="B10" s="75" t="s">
        <v>202</v>
      </c>
      <c r="C10" s="256" t="s">
        <v>25</v>
      </c>
      <c r="D10" s="257" t="s">
        <v>26</v>
      </c>
      <c r="E10" s="25"/>
    </row>
    <row r="11" spans="1:9">
      <c r="A11" s="25"/>
      <c r="B11" s="60" t="s">
        <v>203</v>
      </c>
      <c r="C11" s="113">
        <v>5.2499999999999998E-2</v>
      </c>
      <c r="D11" s="113">
        <f>C11</f>
        <v>5.2499999999999998E-2</v>
      </c>
      <c r="E11" s="25"/>
    </row>
    <row r="12" spans="1:9">
      <c r="A12" s="25"/>
      <c r="B12" s="60" t="s">
        <v>204</v>
      </c>
      <c r="C12" s="114">
        <v>3500</v>
      </c>
      <c r="D12" s="114">
        <f>C12</f>
        <v>3500</v>
      </c>
      <c r="E12" s="25"/>
    </row>
    <row r="13" spans="1:9" s="25" customFormat="1" ht="16" thickBot="1">
      <c r="B13" s="78" t="s">
        <v>230</v>
      </c>
      <c r="C13" s="115">
        <f>('2020 Living Wage Income'!B38-$C$12)*$C$11</f>
        <v>1684.2524999999998</v>
      </c>
      <c r="D13" s="116">
        <f>('2020 Living Wage Income'!C38-$C$12)*$C$11</f>
        <v>1684.2524999999998</v>
      </c>
    </row>
    <row r="14" spans="1:9" ht="16" thickBot="1">
      <c r="A14" s="25"/>
      <c r="B14" s="25"/>
      <c r="C14" s="25"/>
      <c r="D14" s="25"/>
      <c r="E14" s="25"/>
    </row>
    <row r="15" spans="1:9">
      <c r="A15" s="25"/>
      <c r="B15" s="75" t="s">
        <v>205</v>
      </c>
      <c r="C15" s="58" t="s">
        <v>206</v>
      </c>
      <c r="D15" s="59" t="s">
        <v>207</v>
      </c>
      <c r="E15" s="25"/>
    </row>
    <row r="16" spans="1:9">
      <c r="A16" s="25"/>
      <c r="B16" s="60" t="s">
        <v>208</v>
      </c>
      <c r="C16" s="259">
        <v>10264</v>
      </c>
      <c r="D16" s="126">
        <v>12069</v>
      </c>
      <c r="E16" s="25"/>
    </row>
    <row r="17" spans="1:7">
      <c r="A17" s="25"/>
      <c r="B17" s="60" t="s">
        <v>209</v>
      </c>
      <c r="C17" s="120">
        <v>9588</v>
      </c>
      <c r="D17" s="258" t="s">
        <v>293</v>
      </c>
      <c r="E17" s="25"/>
    </row>
    <row r="18" spans="1:7">
      <c r="A18" s="25"/>
      <c r="B18" s="60" t="s">
        <v>210</v>
      </c>
      <c r="C18" s="120">
        <v>5012</v>
      </c>
      <c r="D18" s="101">
        <v>7494</v>
      </c>
      <c r="E18" s="25"/>
    </row>
    <row r="19" spans="1:7">
      <c r="A19" s="25"/>
      <c r="B19" s="60" t="s">
        <v>211</v>
      </c>
      <c r="C19" s="120">
        <v>8310</v>
      </c>
      <c r="D19" s="101">
        <v>8416</v>
      </c>
      <c r="E19" s="25"/>
    </row>
    <row r="20" spans="1:7">
      <c r="A20" s="25"/>
      <c r="B20" s="60" t="s">
        <v>212</v>
      </c>
      <c r="C20" s="128">
        <v>0.03</v>
      </c>
      <c r="D20" s="127">
        <v>0.03</v>
      </c>
      <c r="E20" s="25"/>
    </row>
    <row r="21" spans="1:7">
      <c r="A21" s="25"/>
      <c r="B21" s="60" t="s">
        <v>213</v>
      </c>
      <c r="C21" s="113">
        <v>9.2999999999999999E-2</v>
      </c>
      <c r="D21" s="127">
        <v>0.15</v>
      </c>
      <c r="E21" s="25"/>
    </row>
    <row r="22" spans="1:7" ht="16" thickBot="1">
      <c r="A22" s="25"/>
      <c r="B22" s="62" t="s">
        <v>214</v>
      </c>
      <c r="C22" s="260" t="s">
        <v>293</v>
      </c>
      <c r="D22" s="137">
        <v>1222</v>
      </c>
      <c r="E22" s="25"/>
    </row>
    <row r="23" spans="1:7" ht="16" thickBot="1">
      <c r="A23" s="25"/>
      <c r="B23" s="25"/>
      <c r="C23" s="25"/>
      <c r="D23" s="25"/>
      <c r="E23" s="25"/>
    </row>
    <row r="24" spans="1:7">
      <c r="A24" s="25"/>
      <c r="B24" s="261" t="s">
        <v>294</v>
      </c>
      <c r="C24" s="77"/>
      <c r="D24" s="25"/>
      <c r="E24" s="25"/>
    </row>
    <row r="25" spans="1:7">
      <c r="A25" s="25"/>
      <c r="B25" s="60" t="s">
        <v>215</v>
      </c>
      <c r="C25" s="101">
        <v>17130</v>
      </c>
      <c r="D25" s="25"/>
      <c r="E25" s="25"/>
    </row>
    <row r="26" spans="1:7">
      <c r="A26" s="25"/>
      <c r="B26" s="60" t="s">
        <v>216</v>
      </c>
      <c r="C26" s="106">
        <v>0.03</v>
      </c>
      <c r="D26" s="25"/>
      <c r="E26" s="25"/>
    </row>
    <row r="27" spans="1:7">
      <c r="A27" s="25"/>
      <c r="B27" s="60" t="s">
        <v>217</v>
      </c>
      <c r="C27" s="101">
        <v>1332.9</v>
      </c>
      <c r="D27" s="25"/>
      <c r="E27" s="25"/>
    </row>
    <row r="28" spans="1:7" s="25" customFormat="1" ht="16" thickBot="1">
      <c r="B28" s="78" t="s">
        <v>236</v>
      </c>
      <c r="C28" s="74">
        <f>C27-('2020 Living Wage Income'!D40-C25)*C26</f>
        <v>101.94000000000005</v>
      </c>
      <c r="G28" s="25" t="s">
        <v>299</v>
      </c>
    </row>
    <row r="29" spans="1:7" ht="16" thickBot="1">
      <c r="A29" s="25"/>
      <c r="B29" s="25"/>
      <c r="C29" s="25"/>
      <c r="D29" s="25"/>
      <c r="E29" s="25"/>
    </row>
    <row r="30" spans="1:7">
      <c r="A30" s="25"/>
      <c r="B30" s="75" t="s">
        <v>218</v>
      </c>
      <c r="C30" s="76"/>
      <c r="D30" s="77"/>
      <c r="E30" s="25"/>
    </row>
    <row r="31" spans="1:7">
      <c r="A31" s="25"/>
      <c r="B31" s="60" t="s">
        <v>219</v>
      </c>
      <c r="C31" s="37" t="s">
        <v>220</v>
      </c>
      <c r="D31" s="61" t="s">
        <v>221</v>
      </c>
      <c r="E31" s="25"/>
    </row>
    <row r="32" spans="1:7">
      <c r="A32" s="25"/>
      <c r="B32" s="117">
        <v>0</v>
      </c>
      <c r="C32" s="124">
        <v>43401</v>
      </c>
      <c r="D32" s="118">
        <v>9.6799999999999997E-2</v>
      </c>
      <c r="G32" s="25" t="s">
        <v>222</v>
      </c>
    </row>
    <row r="33" spans="1:7">
      <c r="A33" s="25"/>
      <c r="B33" s="125">
        <f>C32</f>
        <v>43401</v>
      </c>
      <c r="C33" s="120">
        <v>86803</v>
      </c>
      <c r="D33" s="99">
        <v>0.1482</v>
      </c>
      <c r="E33" s="25"/>
    </row>
    <row r="34" spans="1:7">
      <c r="A34" s="25"/>
      <c r="B34" s="119">
        <f>C33</f>
        <v>86803</v>
      </c>
      <c r="C34" s="120">
        <v>141122</v>
      </c>
      <c r="D34" s="99">
        <v>0.16520000000000001</v>
      </c>
      <c r="E34" s="25"/>
    </row>
    <row r="35" spans="1:7">
      <c r="A35" s="25"/>
      <c r="B35" s="119">
        <f>C34</f>
        <v>141122</v>
      </c>
      <c r="C35" s="120">
        <v>160776</v>
      </c>
      <c r="D35" s="99">
        <v>0.1784</v>
      </c>
      <c r="E35" s="25"/>
    </row>
    <row r="36" spans="1:7" ht="16" thickBot="1">
      <c r="A36" s="25"/>
      <c r="B36" s="121">
        <f>C35</f>
        <v>160776</v>
      </c>
      <c r="C36" s="122"/>
      <c r="D36" s="123">
        <v>0.20300000000000001</v>
      </c>
      <c r="E36" s="25"/>
    </row>
    <row r="37" spans="1:7" ht="16" thickBot="1">
      <c r="A37" s="25"/>
      <c r="B37" s="25"/>
      <c r="C37" s="25"/>
      <c r="D37" s="25"/>
      <c r="E37" s="25"/>
    </row>
    <row r="38" spans="1:7">
      <c r="A38" s="25"/>
      <c r="B38" s="75" t="s">
        <v>223</v>
      </c>
      <c r="C38" s="76"/>
      <c r="D38" s="77"/>
      <c r="E38" s="25"/>
    </row>
    <row r="39" spans="1:7">
      <c r="A39" s="25"/>
      <c r="B39" s="60" t="s">
        <v>219</v>
      </c>
      <c r="C39" s="37" t="s">
        <v>220</v>
      </c>
      <c r="D39" s="61" t="s">
        <v>221</v>
      </c>
      <c r="E39" s="25"/>
    </row>
    <row r="40" spans="1:7">
      <c r="A40" s="25"/>
      <c r="B40" s="117">
        <v>0</v>
      </c>
      <c r="C40" s="114">
        <v>48535</v>
      </c>
      <c r="D40" s="118">
        <v>0.15</v>
      </c>
      <c r="G40" s="25" t="s">
        <v>222</v>
      </c>
    </row>
    <row r="41" spans="1:7">
      <c r="A41" s="25"/>
      <c r="B41" s="119">
        <f>C40</f>
        <v>48535</v>
      </c>
      <c r="C41" s="120">
        <v>97069</v>
      </c>
      <c r="D41" s="99">
        <v>0.20499999999999999</v>
      </c>
      <c r="E41" s="25"/>
    </row>
    <row r="42" spans="1:7">
      <c r="A42" s="25"/>
      <c r="B42" s="119">
        <f>C41</f>
        <v>97069</v>
      </c>
      <c r="C42" s="120">
        <v>150473</v>
      </c>
      <c r="D42" s="99">
        <v>0.26</v>
      </c>
      <c r="E42" s="25"/>
    </row>
    <row r="43" spans="1:7">
      <c r="A43" s="25"/>
      <c r="B43" s="119">
        <f>C42</f>
        <v>150473</v>
      </c>
      <c r="C43" s="120">
        <v>214368</v>
      </c>
      <c r="D43" s="99">
        <v>0.28999999999999998</v>
      </c>
      <c r="E43" s="25"/>
    </row>
    <row r="44" spans="1:7" ht="16" thickBot="1">
      <c r="A44" s="25"/>
      <c r="B44" s="121">
        <f>C43</f>
        <v>214368</v>
      </c>
      <c r="C44" s="122"/>
      <c r="D44" s="123">
        <v>0.33</v>
      </c>
      <c r="E44" s="25"/>
    </row>
    <row r="45" spans="1:7" ht="16" thickBot="1">
      <c r="A45" s="25"/>
      <c r="B45" s="25"/>
      <c r="C45" s="25"/>
      <c r="D45" s="25"/>
      <c r="E45" s="25"/>
    </row>
    <row r="46" spans="1:7">
      <c r="A46" s="25"/>
      <c r="B46" s="75" t="s">
        <v>295</v>
      </c>
      <c r="C46" s="77"/>
      <c r="D46" s="25"/>
      <c r="E46" s="25"/>
    </row>
    <row r="47" spans="1:7">
      <c r="A47" s="25"/>
      <c r="B47" s="60" t="s">
        <v>224</v>
      </c>
      <c r="C47" s="126">
        <v>3000</v>
      </c>
      <c r="D47" s="25"/>
      <c r="E47" s="25"/>
      <c r="G47" t="s">
        <v>298</v>
      </c>
    </row>
    <row r="48" spans="1:7">
      <c r="A48" s="25"/>
      <c r="B48" s="60" t="s">
        <v>225</v>
      </c>
      <c r="C48" s="127">
        <v>0.26</v>
      </c>
      <c r="D48" s="25"/>
      <c r="E48" s="25"/>
    </row>
    <row r="49" spans="1:13">
      <c r="A49" s="25"/>
      <c r="B49" s="60" t="s">
        <v>226</v>
      </c>
      <c r="C49" s="126">
        <v>2335</v>
      </c>
      <c r="D49" s="25"/>
      <c r="E49" s="25"/>
    </row>
    <row r="50" spans="1:13">
      <c r="A50" s="25"/>
      <c r="B50" s="60" t="s">
        <v>227</v>
      </c>
      <c r="C50" s="126">
        <v>36483</v>
      </c>
      <c r="D50" s="25"/>
      <c r="E50" s="25"/>
    </row>
    <row r="51" spans="1:13">
      <c r="A51" s="25"/>
      <c r="B51" s="60" t="s">
        <v>314</v>
      </c>
      <c r="C51" s="126">
        <v>17025</v>
      </c>
      <c r="D51" s="25"/>
      <c r="E51" s="25"/>
    </row>
    <row r="52" spans="1:13">
      <c r="A52" s="25"/>
      <c r="B52" s="60" t="s">
        <v>228</v>
      </c>
      <c r="C52" s="127">
        <v>0.12</v>
      </c>
      <c r="D52" s="25"/>
      <c r="E52" s="25"/>
    </row>
    <row r="53" spans="1:13" ht="16" thickBot="1">
      <c r="A53" s="25"/>
      <c r="B53" s="62" t="s">
        <v>229</v>
      </c>
      <c r="C53" s="74">
        <f>IF('2020 Living Wage Income'!D38&lt;C50,(MIN(C48*('2020 Living Wage Income'!D38-C47),C49)-C52*('2020 Living Wage Income'!D40-C51)),0)</f>
        <v>0</v>
      </c>
      <c r="D53" s="25" t="s">
        <v>237</v>
      </c>
      <c r="H53" s="140"/>
      <c r="I53" s="140"/>
      <c r="J53" s="140"/>
      <c r="K53" s="262"/>
      <c r="M53" s="140"/>
    </row>
    <row r="54" spans="1:13" ht="16" thickBot="1">
      <c r="A54" s="25"/>
      <c r="B54" s="25"/>
      <c r="C54" s="25"/>
      <c r="D54" s="25"/>
      <c r="E54" s="25"/>
    </row>
    <row r="55" spans="1:13">
      <c r="B55" s="312" t="s">
        <v>296</v>
      </c>
      <c r="C55" s="274"/>
    </row>
    <row r="56" spans="1:13">
      <c r="B56" s="313" t="s">
        <v>234</v>
      </c>
      <c r="C56" s="314">
        <v>8000</v>
      </c>
    </row>
    <row r="57" spans="1:13">
      <c r="B57" s="313" t="s">
        <v>235</v>
      </c>
      <c r="C57" s="315">
        <v>5000</v>
      </c>
    </row>
    <row r="58" spans="1:13" ht="16" thickBot="1">
      <c r="B58" s="316" t="s">
        <v>244</v>
      </c>
      <c r="C58" s="317">
        <v>13000</v>
      </c>
    </row>
    <row r="60" spans="1:13" ht="16" thickBot="1"/>
    <row r="61" spans="1:13">
      <c r="B61" s="423" t="s">
        <v>0</v>
      </c>
      <c r="C61" s="424"/>
      <c r="D61" s="1"/>
      <c r="E61" s="9"/>
    </row>
    <row r="62" spans="1:13">
      <c r="B62" s="318"/>
      <c r="C62" s="319"/>
      <c r="D62" s="1"/>
      <c r="E62" s="9"/>
    </row>
    <row r="63" spans="1:13">
      <c r="B63" s="320" t="s">
        <v>4</v>
      </c>
      <c r="C63" s="321">
        <v>8000</v>
      </c>
      <c r="D63" s="1"/>
      <c r="E63" s="9"/>
    </row>
    <row r="64" spans="1:13">
      <c r="B64" s="320" t="s">
        <v>6</v>
      </c>
      <c r="C64" s="321">
        <v>5000</v>
      </c>
      <c r="D64" s="1"/>
      <c r="E64" s="9"/>
    </row>
    <row r="65" spans="2:5" ht="16" thickBot="1">
      <c r="B65" s="322"/>
      <c r="C65" s="323">
        <f>SUM(C63:C64)</f>
        <v>13000</v>
      </c>
      <c r="D65" s="4"/>
      <c r="E65" s="9"/>
    </row>
    <row r="66" spans="2:5" ht="16" thickBot="1">
      <c r="B66" s="9"/>
      <c r="C66" s="9"/>
      <c r="D66" s="1"/>
      <c r="E66" s="9"/>
    </row>
    <row r="67" spans="2:5" ht="17" thickBot="1">
      <c r="B67" s="427" t="s">
        <v>233</v>
      </c>
      <c r="C67" s="428"/>
      <c r="D67" s="326"/>
      <c r="E67" s="15"/>
    </row>
    <row r="68" spans="2:5">
      <c r="B68" s="425" t="s">
        <v>25</v>
      </c>
      <c r="C68" s="426"/>
      <c r="D68" s="9"/>
      <c r="E68" s="9"/>
    </row>
    <row r="69" spans="2:5">
      <c r="B69" s="328" t="s">
        <v>305</v>
      </c>
      <c r="C69" s="324">
        <f>C65</f>
        <v>13000</v>
      </c>
      <c r="D69" s="9"/>
      <c r="E69" s="9"/>
    </row>
    <row r="70" spans="2:5">
      <c r="B70" s="328" t="s">
        <v>304</v>
      </c>
      <c r="C70" s="325">
        <f>'2020 Living Wage Income'!C11-'2020 Living Wage Income'!B40*'Table IV - Taxes and Credits'!D20</f>
        <v>1438.5300000000002</v>
      </c>
      <c r="D70" s="9"/>
      <c r="E70" s="9"/>
    </row>
    <row r="71" spans="2:5">
      <c r="B71" s="328" t="s">
        <v>303</v>
      </c>
      <c r="C71" s="325">
        <f>'2020 Living Wage Income'!C11-'2020 Living Wage Income'!B40*'Table IV - Taxes and Credits'!C20</f>
        <v>1438.5300000000002</v>
      </c>
      <c r="D71" s="9"/>
      <c r="E71" s="9"/>
    </row>
    <row r="72" spans="2:5" ht="16" thickBot="1">
      <c r="B72" s="329" t="s">
        <v>16</v>
      </c>
      <c r="C72" s="330">
        <f>SUM(C69:C71)</f>
        <v>15877.060000000001</v>
      </c>
      <c r="D72" s="9"/>
      <c r="E72" s="9"/>
    </row>
    <row r="73" spans="2:5">
      <c r="B73" s="425" t="s">
        <v>26</v>
      </c>
      <c r="C73" s="426"/>
      <c r="D73" s="9"/>
      <c r="E73" s="9"/>
    </row>
    <row r="74" spans="2:5">
      <c r="B74" s="328" t="s">
        <v>306</v>
      </c>
      <c r="C74" s="169">
        <f>'Family Expenses'!B40*6</f>
        <v>990</v>
      </c>
      <c r="D74" s="9"/>
      <c r="E74" s="9"/>
    </row>
    <row r="75" spans="2:5">
      <c r="B75" s="328" t="s">
        <v>307</v>
      </c>
      <c r="C75" s="169">
        <f>'Family Expenses'!B40*6</f>
        <v>990</v>
      </c>
      <c r="D75" s="9"/>
      <c r="E75" s="9"/>
    </row>
    <row r="76" spans="2:5" ht="16" thickBot="1">
      <c r="B76" s="327" t="s">
        <v>16</v>
      </c>
      <c r="C76" s="331">
        <f>SUM(C74:C75)</f>
        <v>1980</v>
      </c>
      <c r="D76" s="9"/>
      <c r="E76" s="9"/>
    </row>
  </sheetData>
  <mergeCells count="4">
    <mergeCell ref="B61:C61"/>
    <mergeCell ref="B68:C68"/>
    <mergeCell ref="B73:C73"/>
    <mergeCell ref="B67:C67"/>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66"/>
  <sheetViews>
    <sheetView workbookViewId="0">
      <selection activeCell="K22" sqref="K22"/>
    </sheetView>
  </sheetViews>
  <sheetFormatPr baseColWidth="10" defaultColWidth="8.83203125" defaultRowHeight="15"/>
  <cols>
    <col min="1" max="1" width="26.83203125" customWidth="1"/>
    <col min="2" max="2" width="27.5" customWidth="1"/>
    <col min="3" max="3" width="8.83203125" style="25"/>
    <col min="5" max="5" width="10.6640625" customWidth="1"/>
    <col min="6" max="6" width="12.6640625" customWidth="1"/>
    <col min="7" max="7" width="9.1640625" bestFit="1" customWidth="1"/>
  </cols>
  <sheetData>
    <row r="1" spans="1:10">
      <c r="A1" s="25" t="s">
        <v>123</v>
      </c>
      <c r="B1" s="25"/>
      <c r="D1" s="25"/>
      <c r="E1" s="25"/>
      <c r="F1" s="25"/>
    </row>
    <row r="2" spans="1:10">
      <c r="A2" s="25" t="s">
        <v>44</v>
      </c>
      <c r="B2" s="25"/>
      <c r="D2" s="25"/>
      <c r="E2" s="25"/>
      <c r="F2" s="25"/>
    </row>
    <row r="3" spans="1:10">
      <c r="A3" s="25" t="s">
        <v>45</v>
      </c>
      <c r="B3" s="25"/>
      <c r="D3" s="25"/>
      <c r="E3" s="25"/>
      <c r="F3" s="25"/>
    </row>
    <row r="4" spans="1:10">
      <c r="A4" s="25" t="s">
        <v>67</v>
      </c>
      <c r="B4" s="25" t="s">
        <v>46</v>
      </c>
      <c r="C4" s="25">
        <v>2016</v>
      </c>
      <c r="D4" s="25">
        <v>2017</v>
      </c>
      <c r="E4" s="25">
        <v>2018</v>
      </c>
      <c r="F4" s="25">
        <v>2019</v>
      </c>
    </row>
    <row r="5" spans="1:10">
      <c r="A5" s="25" t="s">
        <v>92</v>
      </c>
      <c r="B5" s="25" t="s">
        <v>68</v>
      </c>
      <c r="C5" s="25">
        <v>128.19999999999999</v>
      </c>
      <c r="D5" s="25">
        <v>131.19999999999999</v>
      </c>
      <c r="E5" s="25">
        <v>134</v>
      </c>
      <c r="F5" s="25">
        <v>136.30000000000001</v>
      </c>
      <c r="I5" s="25"/>
    </row>
    <row r="6" spans="1:10">
      <c r="A6" s="25" t="s">
        <v>92</v>
      </c>
      <c r="B6" s="25" t="s">
        <v>48</v>
      </c>
      <c r="C6" s="25">
        <v>150.6</v>
      </c>
      <c r="D6" s="25">
        <v>148.6</v>
      </c>
      <c r="E6" s="25">
        <v>150.6</v>
      </c>
      <c r="F6" s="25">
        <v>155.6</v>
      </c>
      <c r="H6" s="25"/>
      <c r="I6" s="25"/>
    </row>
    <row r="7" spans="1:10">
      <c r="A7" s="25" t="s">
        <v>92</v>
      </c>
      <c r="B7" s="25" t="s">
        <v>49</v>
      </c>
      <c r="C7" s="25">
        <v>131.69999999999999</v>
      </c>
      <c r="D7" s="25">
        <v>134.6</v>
      </c>
      <c r="E7" s="25">
        <v>137.5</v>
      </c>
      <c r="F7" s="25">
        <v>140.19999999999999</v>
      </c>
      <c r="H7" s="25"/>
      <c r="I7" s="25"/>
    </row>
    <row r="8" spans="1:10">
      <c r="A8" s="25" t="s">
        <v>92</v>
      </c>
      <c r="B8" s="25" t="s">
        <v>129</v>
      </c>
      <c r="C8" s="25">
        <v>114.4</v>
      </c>
      <c r="D8" s="25">
        <v>115.2</v>
      </c>
      <c r="E8" s="25">
        <v>116.5</v>
      </c>
      <c r="F8" s="25">
        <v>118</v>
      </c>
      <c r="H8" s="25"/>
      <c r="I8" s="25"/>
    </row>
    <row r="9" spans="1:10">
      <c r="A9" s="25" t="s">
        <v>92</v>
      </c>
      <c r="B9" s="25" t="s">
        <v>130</v>
      </c>
      <c r="C9" s="25">
        <v>114.6</v>
      </c>
      <c r="D9" s="25">
        <v>115.2</v>
      </c>
      <c r="E9" s="25">
        <v>116.5</v>
      </c>
      <c r="F9" s="25">
        <v>117.9</v>
      </c>
      <c r="G9" s="21"/>
      <c r="H9" s="25"/>
      <c r="I9" s="25"/>
    </row>
    <row r="10" spans="1:10">
      <c r="A10" s="25" t="s">
        <v>92</v>
      </c>
      <c r="B10" s="25" t="s">
        <v>50</v>
      </c>
      <c r="C10" s="25">
        <v>97.9</v>
      </c>
      <c r="D10" s="25">
        <v>100.4</v>
      </c>
      <c r="E10" s="25">
        <v>100.9</v>
      </c>
      <c r="F10" s="25">
        <v>101.4</v>
      </c>
      <c r="H10" s="25"/>
      <c r="I10" s="25"/>
      <c r="J10" s="25"/>
    </row>
    <row r="11" spans="1:10">
      <c r="A11" s="25" t="s">
        <v>92</v>
      </c>
      <c r="B11" s="25" t="s">
        <v>9</v>
      </c>
      <c r="C11" s="25">
        <v>122.2</v>
      </c>
      <c r="D11" s="25">
        <v>127.8</v>
      </c>
      <c r="E11" s="25">
        <v>132.9</v>
      </c>
      <c r="F11" s="25">
        <v>135.6</v>
      </c>
      <c r="H11" s="25"/>
      <c r="I11" s="25"/>
    </row>
    <row r="12" spans="1:10">
      <c r="A12" s="25" t="s">
        <v>92</v>
      </c>
      <c r="B12" s="25" t="s">
        <v>69</v>
      </c>
      <c r="C12" s="25">
        <v>135.30000000000001</v>
      </c>
      <c r="D12" s="25">
        <v>144</v>
      </c>
      <c r="E12" s="25">
        <v>152.69999999999999</v>
      </c>
      <c r="F12" s="25">
        <v>154.19999999999999</v>
      </c>
      <c r="H12" s="25"/>
      <c r="I12" s="25"/>
    </row>
    <row r="13" spans="1:10">
      <c r="A13" s="25" t="s">
        <v>92</v>
      </c>
      <c r="B13" s="25" t="s">
        <v>51</v>
      </c>
      <c r="C13" s="25">
        <v>133.30000000000001</v>
      </c>
      <c r="D13" s="25">
        <v>147.19999999999999</v>
      </c>
      <c r="E13" s="25">
        <v>162.19999999999999</v>
      </c>
      <c r="F13" s="25">
        <v>159.19999999999999</v>
      </c>
      <c r="H13" s="25"/>
      <c r="I13" s="25"/>
    </row>
    <row r="14" spans="1:10">
      <c r="A14" s="25" t="s">
        <v>92</v>
      </c>
      <c r="B14" s="25" t="s">
        <v>52</v>
      </c>
      <c r="C14" s="25">
        <v>113.5</v>
      </c>
      <c r="D14" s="25">
        <v>115.9</v>
      </c>
      <c r="E14" s="25">
        <v>117.7</v>
      </c>
      <c r="F14" s="25">
        <v>118.6</v>
      </c>
      <c r="H14" s="25"/>
      <c r="I14" s="25"/>
    </row>
    <row r="15" spans="1:10">
      <c r="A15" s="25" t="s">
        <v>92</v>
      </c>
      <c r="B15" s="25" t="s">
        <v>53</v>
      </c>
      <c r="C15" s="25">
        <v>113.2</v>
      </c>
      <c r="D15" s="25">
        <v>117.5</v>
      </c>
      <c r="E15" s="25">
        <v>119.6</v>
      </c>
      <c r="F15" s="25">
        <v>123.2</v>
      </c>
      <c r="H15" s="25"/>
      <c r="I15" s="25"/>
    </row>
    <row r="16" spans="1:10">
      <c r="A16" s="25" t="s">
        <v>92</v>
      </c>
      <c r="B16" s="25" t="s">
        <v>54</v>
      </c>
      <c r="C16" s="25">
        <v>180.6</v>
      </c>
      <c r="D16" s="25">
        <v>196.8</v>
      </c>
      <c r="E16" s="25">
        <v>204</v>
      </c>
      <c r="F16" s="25">
        <v>207</v>
      </c>
      <c r="H16" s="25"/>
      <c r="I16" s="25"/>
    </row>
    <row r="17" spans="1:9">
      <c r="A17" s="25" t="s">
        <v>92</v>
      </c>
      <c r="B17" s="25" t="s">
        <v>55</v>
      </c>
      <c r="C17" s="25">
        <v>120.3</v>
      </c>
      <c r="D17" s="25">
        <v>123.2</v>
      </c>
      <c r="E17" s="25">
        <v>125.3</v>
      </c>
      <c r="F17" s="25">
        <v>127.4</v>
      </c>
      <c r="H17" s="25"/>
      <c r="I17" s="25"/>
    </row>
    <row r="18" spans="1:9">
      <c r="A18" s="25" t="s">
        <v>92</v>
      </c>
      <c r="B18" s="25" t="s">
        <v>56</v>
      </c>
      <c r="C18" s="25">
        <v>125.9</v>
      </c>
      <c r="D18" s="25">
        <v>128.1</v>
      </c>
      <c r="E18" s="25">
        <v>130.1</v>
      </c>
      <c r="F18" s="25">
        <v>132.69999999999999</v>
      </c>
      <c r="H18" s="25"/>
      <c r="I18" s="25"/>
    </row>
    <row r="19" spans="1:9">
      <c r="A19" s="25" t="s">
        <v>92</v>
      </c>
      <c r="B19" s="25" t="s">
        <v>57</v>
      </c>
      <c r="C19" s="25">
        <v>142.4</v>
      </c>
      <c r="D19" s="25">
        <v>152.9</v>
      </c>
      <c r="E19" s="25">
        <v>162.9</v>
      </c>
      <c r="F19" s="25">
        <v>163</v>
      </c>
      <c r="H19" s="25"/>
      <c r="I19" s="25"/>
    </row>
    <row r="20" spans="1:9" s="25" customFormat="1">
      <c r="A20" s="25" t="s">
        <v>92</v>
      </c>
      <c r="B20" s="25" t="s">
        <v>58</v>
      </c>
      <c r="C20" s="25">
        <v>123.8</v>
      </c>
      <c r="D20" s="25">
        <v>126.5</v>
      </c>
      <c r="E20" s="25">
        <v>129.1</v>
      </c>
      <c r="F20" s="25">
        <v>131.4</v>
      </c>
    </row>
    <row r="21" spans="1:9" s="25" customFormat="1">
      <c r="A21" s="25" t="s">
        <v>92</v>
      </c>
      <c r="B21" s="25" t="s">
        <v>59</v>
      </c>
      <c r="C21" s="25">
        <v>133.9</v>
      </c>
      <c r="D21" s="25">
        <v>137.30000000000001</v>
      </c>
      <c r="E21" s="25">
        <v>140.4</v>
      </c>
      <c r="F21" s="25">
        <v>142.5</v>
      </c>
    </row>
    <row r="22" spans="1:9" s="25" customFormat="1">
      <c r="A22" s="25" t="s">
        <v>124</v>
      </c>
      <c r="B22" s="25" t="s">
        <v>68</v>
      </c>
      <c r="C22" s="25">
        <v>128</v>
      </c>
      <c r="D22" s="25">
        <v>131.1</v>
      </c>
      <c r="E22" s="25">
        <v>133.9</v>
      </c>
      <c r="F22" s="25">
        <v>136.19999999999999</v>
      </c>
    </row>
    <row r="23" spans="1:9">
      <c r="A23" s="25" t="s">
        <v>124</v>
      </c>
      <c r="B23" s="25" t="s">
        <v>49</v>
      </c>
      <c r="C23" s="25">
        <v>134.30000000000001</v>
      </c>
      <c r="D23" s="25">
        <v>137</v>
      </c>
      <c r="E23" s="25">
        <v>139.69999999999999</v>
      </c>
      <c r="F23" s="25">
        <v>142.69999999999999</v>
      </c>
      <c r="H23" s="25"/>
    </row>
    <row r="24" spans="1:9">
      <c r="A24" s="25" t="s">
        <v>124</v>
      </c>
      <c r="B24" s="25" t="s">
        <v>129</v>
      </c>
      <c r="C24" s="25">
        <v>118.4</v>
      </c>
      <c r="D24" s="25">
        <v>119.1</v>
      </c>
      <c r="E24" s="25">
        <v>119.7</v>
      </c>
      <c r="F24" s="25">
        <v>121.4</v>
      </c>
      <c r="H24" s="25"/>
    </row>
    <row r="25" spans="1:9">
      <c r="A25" s="25" t="s">
        <v>60</v>
      </c>
      <c r="B25" s="25"/>
      <c r="D25" s="25"/>
      <c r="E25" s="25"/>
      <c r="F25" s="25"/>
    </row>
    <row r="26" spans="1:9">
      <c r="A26" s="25">
        <v>2</v>
      </c>
      <c r="B26" s="25" t="s">
        <v>61</v>
      </c>
      <c r="D26" s="25"/>
      <c r="E26" s="25"/>
      <c r="F26" s="25"/>
    </row>
    <row r="27" spans="1:9">
      <c r="A27" s="25">
        <v>9</v>
      </c>
      <c r="B27" s="25" t="s">
        <v>125</v>
      </c>
      <c r="D27" s="25"/>
      <c r="E27" s="25"/>
      <c r="F27" s="25"/>
    </row>
    <row r="28" spans="1:9">
      <c r="A28" s="25">
        <v>11</v>
      </c>
      <c r="B28" s="25" t="s">
        <v>70</v>
      </c>
      <c r="D28" s="25"/>
      <c r="E28" s="25"/>
      <c r="F28" s="25"/>
    </row>
    <row r="29" spans="1:9">
      <c r="A29" s="25">
        <v>15</v>
      </c>
      <c r="B29" s="25" t="s">
        <v>71</v>
      </c>
      <c r="D29" s="25"/>
      <c r="E29" s="25"/>
      <c r="F29" s="25"/>
    </row>
    <row r="30" spans="1:9">
      <c r="A30" s="25">
        <v>17</v>
      </c>
      <c r="B30" s="25" t="s">
        <v>62</v>
      </c>
      <c r="D30" s="25"/>
      <c r="E30" s="25"/>
      <c r="F30" s="25"/>
    </row>
    <row r="31" spans="1:9">
      <c r="A31" s="25">
        <v>18</v>
      </c>
      <c r="B31" s="25" t="s">
        <v>126</v>
      </c>
      <c r="D31" s="25"/>
      <c r="E31" s="25"/>
      <c r="F31" s="25"/>
    </row>
    <row r="32" spans="1:9">
      <c r="A32" s="25">
        <v>25</v>
      </c>
      <c r="B32" s="25" t="s">
        <v>127</v>
      </c>
      <c r="D32" s="25"/>
      <c r="E32" s="25"/>
      <c r="F32" s="25"/>
    </row>
    <row r="33" spans="1:6">
      <c r="A33" s="25">
        <v>27</v>
      </c>
      <c r="B33" s="25" t="s">
        <v>63</v>
      </c>
      <c r="D33" s="25"/>
      <c r="E33" s="25"/>
      <c r="F33" s="25"/>
    </row>
    <row r="34" spans="1:6">
      <c r="A34" s="25">
        <v>28</v>
      </c>
      <c r="B34" s="25" t="s">
        <v>64</v>
      </c>
      <c r="D34" s="25"/>
      <c r="E34" s="25"/>
      <c r="F34" s="25"/>
    </row>
    <row r="35" spans="1:6">
      <c r="A35" s="25">
        <v>32</v>
      </c>
      <c r="B35" s="25" t="s">
        <v>131</v>
      </c>
      <c r="D35" s="25"/>
    </row>
    <row r="36" spans="1:6">
      <c r="A36" s="25" t="s">
        <v>65</v>
      </c>
      <c r="B36" s="25"/>
      <c r="D36" s="25"/>
    </row>
    <row r="37" spans="1:6">
      <c r="A37" s="25" t="s">
        <v>66</v>
      </c>
      <c r="B37" s="25"/>
      <c r="D37" s="25"/>
    </row>
    <row r="38" spans="1:6">
      <c r="A38" s="25" t="s">
        <v>253</v>
      </c>
      <c r="B38" s="25"/>
    </row>
    <row r="39" spans="1:6">
      <c r="A39" s="25" t="s">
        <v>60</v>
      </c>
      <c r="B39" s="25"/>
    </row>
    <row r="40" spans="1:6">
      <c r="A40" s="25">
        <v>1</v>
      </c>
      <c r="B40" s="25" t="s">
        <v>61</v>
      </c>
    </row>
    <row r="41" spans="1:6">
      <c r="A41" s="25">
        <v>2</v>
      </c>
      <c r="B41" s="25" t="s">
        <v>254</v>
      </c>
    </row>
    <row r="42" spans="1:6">
      <c r="A42" s="25">
        <v>3</v>
      </c>
      <c r="B42" s="25" t="s">
        <v>255</v>
      </c>
    </row>
    <row r="43" spans="1:6">
      <c r="A43" s="25">
        <v>4</v>
      </c>
      <c r="B43" s="25" t="s">
        <v>70</v>
      </c>
    </row>
    <row r="44" spans="1:6">
      <c r="A44" s="25">
        <v>5</v>
      </c>
      <c r="B44" s="25" t="s">
        <v>62</v>
      </c>
    </row>
    <row r="45" spans="1:6">
      <c r="A45" s="25">
        <v>6</v>
      </c>
      <c r="B45" s="25" t="s">
        <v>126</v>
      </c>
    </row>
    <row r="46" spans="1:6">
      <c r="A46" s="25">
        <v>7</v>
      </c>
      <c r="B46" s="25" t="s">
        <v>256</v>
      </c>
    </row>
    <row r="47" spans="1:6">
      <c r="A47" s="25">
        <v>8</v>
      </c>
      <c r="B47" s="25" t="s">
        <v>127</v>
      </c>
    </row>
    <row r="48" spans="1:6">
      <c r="A48" s="25">
        <v>9</v>
      </c>
      <c r="B48" s="25" t="s">
        <v>63</v>
      </c>
    </row>
    <row r="49" spans="1:2">
      <c r="A49" s="25">
        <v>10</v>
      </c>
      <c r="B49" s="25" t="s">
        <v>64</v>
      </c>
    </row>
    <row r="50" spans="1:2">
      <c r="A50" s="25">
        <v>11</v>
      </c>
      <c r="B50" s="25"/>
    </row>
    <row r="51" spans="1:2">
      <c r="A51" s="25"/>
      <c r="B51" s="25"/>
    </row>
    <row r="52" spans="1:2">
      <c r="A52" s="25"/>
      <c r="B52" s="25"/>
    </row>
    <row r="53" spans="1:2">
      <c r="A53" s="25"/>
      <c r="B53" s="25"/>
    </row>
    <row r="54" spans="1:2">
      <c r="A54" s="25"/>
      <c r="B54" s="25"/>
    </row>
    <row r="55" spans="1:2">
      <c r="A55" s="25"/>
      <c r="B55" s="25"/>
    </row>
    <row r="56" spans="1:2">
      <c r="A56" s="25"/>
      <c r="B56" s="25"/>
    </row>
    <row r="57" spans="1:2">
      <c r="A57" s="25"/>
      <c r="B57" s="25"/>
    </row>
    <row r="58" spans="1:2">
      <c r="A58" s="25"/>
      <c r="B58" s="25"/>
    </row>
    <row r="59" spans="1:2">
      <c r="A59" s="25"/>
      <c r="B59" s="25"/>
    </row>
    <row r="60" spans="1:2">
      <c r="A60" s="25"/>
      <c r="B60" s="25"/>
    </row>
    <row r="61" spans="1:2">
      <c r="A61" s="25"/>
      <c r="B61" s="25"/>
    </row>
    <row r="62" spans="1:2">
      <c r="A62" s="25"/>
      <c r="B62" s="25"/>
    </row>
    <row r="63" spans="1:2">
      <c r="A63" s="25"/>
      <c r="B63" s="25"/>
    </row>
    <row r="64" spans="1:2">
      <c r="A64" s="25"/>
      <c r="B64" s="25"/>
    </row>
    <row r="65" spans="1:2">
      <c r="A65" s="25"/>
      <c r="B65" s="25"/>
    </row>
    <row r="66" spans="1:2">
      <c r="A66" s="25"/>
      <c r="B66" s="25"/>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54"/>
  <sheetViews>
    <sheetView topLeftCell="A18" workbookViewId="0">
      <selection activeCell="A54" sqref="A54"/>
    </sheetView>
  </sheetViews>
  <sheetFormatPr baseColWidth="10" defaultColWidth="8.83203125" defaultRowHeight="15"/>
  <cols>
    <col min="1" max="1" width="35.5" customWidth="1"/>
    <col min="2" max="2" width="15.1640625" bestFit="1" customWidth="1"/>
    <col min="3" max="3" width="11.5" style="25" bestFit="1" customWidth="1"/>
    <col min="4" max="6" width="11.5" style="25" customWidth="1"/>
    <col min="7" max="7" width="15.5" customWidth="1"/>
    <col min="8" max="8" width="15.6640625" customWidth="1"/>
    <col min="9" max="9" width="11.1640625" bestFit="1" customWidth="1"/>
  </cols>
  <sheetData>
    <row r="1" spans="1:11">
      <c r="A1" s="26" t="s">
        <v>122</v>
      </c>
      <c r="B1" s="25"/>
    </row>
    <row r="2" spans="1:11">
      <c r="A2" s="25" t="s">
        <v>44</v>
      </c>
      <c r="B2" s="25"/>
    </row>
    <row r="3" spans="1:11">
      <c r="A3" s="25" t="s">
        <v>72</v>
      </c>
      <c r="B3" s="25"/>
    </row>
    <row r="4" spans="1:11" ht="16" thickBot="1">
      <c r="A4" s="25" t="s">
        <v>73</v>
      </c>
      <c r="B4" s="25"/>
      <c r="D4" s="25" t="s">
        <v>128</v>
      </c>
      <c r="E4" s="25" t="s">
        <v>128</v>
      </c>
      <c r="F4" s="25" t="s">
        <v>128</v>
      </c>
      <c r="H4" t="s">
        <v>257</v>
      </c>
      <c r="I4" t="s">
        <v>128</v>
      </c>
      <c r="K4" s="89" t="s">
        <v>259</v>
      </c>
    </row>
    <row r="5" spans="1:11" ht="16">
      <c r="A5" s="236" t="s">
        <v>93</v>
      </c>
      <c r="B5" s="237" t="s">
        <v>47</v>
      </c>
      <c r="C5" s="238">
        <v>2016</v>
      </c>
      <c r="D5" s="238">
        <v>2017</v>
      </c>
      <c r="E5" s="238">
        <v>2018</v>
      </c>
      <c r="F5" s="238">
        <v>2019</v>
      </c>
      <c r="G5" s="237" t="s">
        <v>47</v>
      </c>
      <c r="H5" s="238">
        <v>2018</v>
      </c>
      <c r="I5" s="239">
        <v>2019</v>
      </c>
    </row>
    <row r="6" spans="1:11" ht="16">
      <c r="A6" s="429" t="s">
        <v>94</v>
      </c>
      <c r="B6" s="229" t="s">
        <v>74</v>
      </c>
      <c r="C6" s="230">
        <v>38598</v>
      </c>
      <c r="D6" s="230"/>
      <c r="E6" s="230"/>
      <c r="F6" s="230"/>
      <c r="G6" s="229" t="s">
        <v>74</v>
      </c>
      <c r="H6" s="230">
        <f>SUM(H7:H11)</f>
        <v>40766</v>
      </c>
      <c r="I6" s="240"/>
    </row>
    <row r="7" spans="1:11" ht="16">
      <c r="A7" s="430"/>
      <c r="B7" s="79" t="s">
        <v>5</v>
      </c>
      <c r="C7" s="226">
        <v>13113</v>
      </c>
      <c r="D7" s="226"/>
      <c r="E7" s="226"/>
      <c r="F7" s="226"/>
      <c r="G7" s="79" t="s">
        <v>5</v>
      </c>
      <c r="H7" s="226">
        <v>12563</v>
      </c>
      <c r="I7" s="241"/>
    </row>
    <row r="8" spans="1:11" ht="16">
      <c r="A8" s="430"/>
      <c r="B8" s="79" t="s">
        <v>75</v>
      </c>
      <c r="C8" s="226">
        <v>2163</v>
      </c>
      <c r="D8" s="226"/>
      <c r="E8" s="226"/>
      <c r="F8" s="226"/>
      <c r="G8" s="79" t="s">
        <v>75</v>
      </c>
      <c r="H8" s="226">
        <v>2422</v>
      </c>
      <c r="I8" s="241"/>
    </row>
    <row r="9" spans="1:11" ht="16">
      <c r="A9" s="430"/>
      <c r="B9" s="79" t="s">
        <v>9</v>
      </c>
      <c r="C9" s="226">
        <v>4889</v>
      </c>
      <c r="D9" s="226"/>
      <c r="E9" s="226"/>
      <c r="F9" s="226"/>
      <c r="G9" s="79" t="s">
        <v>9</v>
      </c>
      <c r="H9" s="226">
        <v>4563</v>
      </c>
      <c r="I9" s="241"/>
    </row>
    <row r="10" spans="1:11" ht="16">
      <c r="A10" s="430"/>
      <c r="B10" s="79" t="s">
        <v>8</v>
      </c>
      <c r="C10" s="226">
        <v>6921</v>
      </c>
      <c r="D10" s="226"/>
      <c r="E10" s="226"/>
      <c r="F10" s="226"/>
      <c r="G10" s="79" t="s">
        <v>8</v>
      </c>
      <c r="H10" s="226">
        <v>9019</v>
      </c>
      <c r="I10" s="241"/>
    </row>
    <row r="11" spans="1:11" ht="16">
      <c r="A11" s="430"/>
      <c r="B11" s="79" t="s">
        <v>76</v>
      </c>
      <c r="C11" s="226">
        <v>11513</v>
      </c>
      <c r="D11" s="226"/>
      <c r="E11" s="226"/>
      <c r="F11" s="226"/>
      <c r="G11" s="79" t="s">
        <v>76</v>
      </c>
      <c r="H11" s="226">
        <v>12199</v>
      </c>
      <c r="I11" s="241"/>
    </row>
    <row r="12" spans="1:11" ht="16">
      <c r="A12" s="432" t="s">
        <v>95</v>
      </c>
      <c r="B12" s="229" t="s">
        <v>74</v>
      </c>
      <c r="C12" s="230">
        <v>39171</v>
      </c>
      <c r="D12" s="230"/>
      <c r="E12" s="230"/>
      <c r="F12" s="230"/>
      <c r="G12" s="229" t="s">
        <v>74</v>
      </c>
      <c r="H12" s="230">
        <f>SUM(H13:H17)</f>
        <v>42284</v>
      </c>
      <c r="I12" s="240"/>
    </row>
    <row r="13" spans="1:11" ht="16">
      <c r="A13" s="433"/>
      <c r="B13" s="79" t="s">
        <v>5</v>
      </c>
      <c r="C13" s="226">
        <v>13113</v>
      </c>
      <c r="D13" s="226"/>
      <c r="E13" s="226"/>
      <c r="F13" s="226"/>
      <c r="G13" s="79" t="s">
        <v>5</v>
      </c>
      <c r="H13" s="226">
        <v>12563</v>
      </c>
      <c r="I13" s="241"/>
    </row>
    <row r="14" spans="1:11" ht="16">
      <c r="A14" s="433"/>
      <c r="B14" s="79" t="s">
        <v>75</v>
      </c>
      <c r="C14" s="226">
        <v>2163</v>
      </c>
      <c r="D14" s="226"/>
      <c r="E14" s="226"/>
      <c r="F14" s="226"/>
      <c r="G14" s="79" t="s">
        <v>75</v>
      </c>
      <c r="H14" s="226">
        <v>2422</v>
      </c>
      <c r="I14" s="241"/>
    </row>
    <row r="15" spans="1:11" ht="16">
      <c r="A15" s="433"/>
      <c r="B15" s="224" t="s">
        <v>9</v>
      </c>
      <c r="C15" s="227">
        <v>4889</v>
      </c>
      <c r="D15" s="227">
        <f>C15*(CPI!D12/CPI!C12)</f>
        <v>5203.3702882483367</v>
      </c>
      <c r="E15" s="227">
        <f>$C$15*(CPI!E12/CPI!C12)</f>
        <v>5517.7405764966734</v>
      </c>
      <c r="F15" s="227">
        <f>$C$15*(CPI!F12/CPI!D12)</f>
        <v>5235.3041666666668</v>
      </c>
      <c r="G15" s="224" t="s">
        <v>9</v>
      </c>
      <c r="H15" s="227">
        <v>4563</v>
      </c>
      <c r="I15" s="242">
        <f>H15*CPI!F12/CPI!E12</f>
        <v>4607.8231827111986</v>
      </c>
    </row>
    <row r="16" spans="1:11" ht="16">
      <c r="A16" s="433"/>
      <c r="B16" s="79" t="s">
        <v>8</v>
      </c>
      <c r="C16" s="226">
        <v>7494</v>
      </c>
      <c r="D16" s="226"/>
      <c r="E16" s="226"/>
      <c r="F16" s="226"/>
      <c r="G16" s="79" t="s">
        <v>8</v>
      </c>
      <c r="H16" s="226">
        <v>10537</v>
      </c>
      <c r="I16" s="241"/>
    </row>
    <row r="17" spans="1:16" ht="16">
      <c r="A17" s="434"/>
      <c r="B17" s="231" t="s">
        <v>76</v>
      </c>
      <c r="C17" s="232">
        <v>11513</v>
      </c>
      <c r="D17" s="232"/>
      <c r="E17" s="233"/>
      <c r="F17" s="233"/>
      <c r="G17" s="231" t="s">
        <v>76</v>
      </c>
      <c r="H17" s="232">
        <v>12199</v>
      </c>
      <c r="I17" s="243"/>
    </row>
    <row r="18" spans="1:16" ht="16">
      <c r="A18" s="429" t="s">
        <v>96</v>
      </c>
      <c r="B18" s="229" t="s">
        <v>74</v>
      </c>
      <c r="C18" s="230">
        <v>38592</v>
      </c>
      <c r="D18" s="230"/>
      <c r="E18" s="230"/>
      <c r="F18" s="230"/>
      <c r="G18" s="229" t="s">
        <v>74</v>
      </c>
      <c r="H18" s="230">
        <f>SUM(H19:H23)</f>
        <v>42058</v>
      </c>
      <c r="I18" s="240"/>
    </row>
    <row r="19" spans="1:16" ht="16">
      <c r="A19" s="430"/>
      <c r="B19" s="79" t="s">
        <v>5</v>
      </c>
      <c r="C19" s="226">
        <v>13113</v>
      </c>
      <c r="D19" s="226"/>
      <c r="E19" s="226"/>
      <c r="F19" s="226"/>
      <c r="G19" s="79" t="s">
        <v>5</v>
      </c>
      <c r="H19" s="226">
        <v>12563</v>
      </c>
      <c r="I19" s="241"/>
    </row>
    <row r="20" spans="1:16" ht="16">
      <c r="A20" s="430"/>
      <c r="B20" s="79" t="s">
        <v>75</v>
      </c>
      <c r="C20" s="226">
        <v>2163</v>
      </c>
      <c r="D20" s="226"/>
      <c r="E20" s="226"/>
      <c r="F20" s="226"/>
      <c r="G20" s="79" t="s">
        <v>75</v>
      </c>
      <c r="H20" s="226">
        <v>2422</v>
      </c>
      <c r="I20" s="241"/>
    </row>
    <row r="21" spans="1:16" ht="16">
      <c r="A21" s="430"/>
      <c r="B21" s="79" t="s">
        <v>9</v>
      </c>
      <c r="C21" s="226">
        <v>4889</v>
      </c>
      <c r="D21" s="226"/>
      <c r="E21" s="226"/>
      <c r="F21" s="226"/>
      <c r="G21" s="79" t="s">
        <v>9</v>
      </c>
      <c r="H21" s="226">
        <v>4563</v>
      </c>
      <c r="I21" s="241"/>
    </row>
    <row r="22" spans="1:16" ht="16">
      <c r="A22" s="430"/>
      <c r="B22" s="79" t="s">
        <v>8</v>
      </c>
      <c r="C22" s="226">
        <v>6914</v>
      </c>
      <c r="D22" s="226"/>
      <c r="E22" s="226"/>
      <c r="F22" s="226"/>
      <c r="G22" s="79" t="s">
        <v>8</v>
      </c>
      <c r="H22" s="226">
        <v>10311</v>
      </c>
      <c r="I22" s="241"/>
    </row>
    <row r="23" spans="1:16" ht="16">
      <c r="A23" s="435"/>
      <c r="B23" s="231" t="s">
        <v>76</v>
      </c>
      <c r="C23" s="232">
        <v>11513</v>
      </c>
      <c r="D23" s="232"/>
      <c r="E23" s="232"/>
      <c r="F23" s="232"/>
      <c r="G23" s="231" t="s">
        <v>76</v>
      </c>
      <c r="H23" s="232">
        <v>12199</v>
      </c>
      <c r="I23" s="243"/>
    </row>
    <row r="24" spans="1:16" ht="16">
      <c r="A24" s="429" t="s">
        <v>97</v>
      </c>
      <c r="B24" s="229" t="s">
        <v>74</v>
      </c>
      <c r="C24" s="230">
        <v>39721</v>
      </c>
      <c r="D24" s="230"/>
      <c r="E24" s="230"/>
      <c r="F24" s="230"/>
      <c r="G24" s="229" t="s">
        <v>74</v>
      </c>
      <c r="H24" s="230">
        <f>SUM(H25:H29)</f>
        <v>43907</v>
      </c>
      <c r="I24" s="240"/>
    </row>
    <row r="25" spans="1:16" ht="16">
      <c r="A25" s="430"/>
      <c r="B25" s="79" t="s">
        <v>5</v>
      </c>
      <c r="C25" s="226">
        <v>13028</v>
      </c>
      <c r="D25" s="226"/>
      <c r="E25" s="226"/>
      <c r="F25" s="226"/>
      <c r="G25" s="79" t="s">
        <v>5</v>
      </c>
      <c r="H25" s="226">
        <v>12499</v>
      </c>
      <c r="I25" s="241"/>
    </row>
    <row r="26" spans="1:16" ht="16">
      <c r="A26" s="430"/>
      <c r="B26" s="79" t="s">
        <v>75</v>
      </c>
      <c r="C26" s="226">
        <v>2163</v>
      </c>
      <c r="D26" s="226"/>
      <c r="E26" s="226"/>
      <c r="F26" s="226"/>
      <c r="G26" s="79" t="s">
        <v>75</v>
      </c>
      <c r="H26" s="226">
        <v>2422</v>
      </c>
      <c r="I26" s="241"/>
    </row>
    <row r="27" spans="1:16" ht="16">
      <c r="A27" s="430"/>
      <c r="B27" s="79" t="s">
        <v>9</v>
      </c>
      <c r="C27" s="226">
        <v>2867</v>
      </c>
      <c r="D27" s="226"/>
      <c r="E27" s="226"/>
      <c r="F27" s="226"/>
      <c r="G27" s="79" t="s">
        <v>9</v>
      </c>
      <c r="H27" s="226">
        <v>3990</v>
      </c>
      <c r="I27" s="241"/>
    </row>
    <row r="28" spans="1:16" ht="16">
      <c r="A28" s="430"/>
      <c r="B28" s="79" t="s">
        <v>8</v>
      </c>
      <c r="C28" s="226">
        <v>10214</v>
      </c>
      <c r="D28" s="226"/>
      <c r="E28" s="226"/>
      <c r="F28" s="226"/>
      <c r="G28" s="79" t="s">
        <v>8</v>
      </c>
      <c r="H28" s="226">
        <v>12845</v>
      </c>
      <c r="I28" s="241"/>
    </row>
    <row r="29" spans="1:16" ht="16">
      <c r="A29" s="435"/>
      <c r="B29" s="231" t="s">
        <v>76</v>
      </c>
      <c r="C29" s="232">
        <v>11449</v>
      </c>
      <c r="D29" s="232"/>
      <c r="E29" s="232"/>
      <c r="F29" s="232"/>
      <c r="G29" s="231" t="s">
        <v>76</v>
      </c>
      <c r="H29" s="232">
        <v>12151</v>
      </c>
      <c r="I29" s="243"/>
      <c r="P29" s="26"/>
    </row>
    <row r="30" spans="1:16" ht="16">
      <c r="A30" s="429" t="s">
        <v>98</v>
      </c>
      <c r="B30" s="234" t="s">
        <v>74</v>
      </c>
      <c r="C30" s="235">
        <v>37143</v>
      </c>
      <c r="D30" s="235"/>
      <c r="E30" s="235"/>
      <c r="F30" s="235"/>
      <c r="G30" s="234" t="s">
        <v>74</v>
      </c>
      <c r="H30" s="235">
        <f>SUM(H31:H35)</f>
        <v>41699</v>
      </c>
      <c r="I30" s="244"/>
    </row>
    <row r="31" spans="1:16" ht="16">
      <c r="A31" s="430"/>
      <c r="B31" s="224" t="s">
        <v>5</v>
      </c>
      <c r="C31" s="227">
        <v>12803</v>
      </c>
      <c r="D31" s="227">
        <f>C31*CPI!D6/CPI!C6</f>
        <v>12632.973439575033</v>
      </c>
      <c r="E31" s="227">
        <f>$C$31*CPI!E6/CPI!C6</f>
        <v>12803</v>
      </c>
      <c r="F31" s="227">
        <f>$C$31*CPI!F6/CPI!D6</f>
        <v>13406.102288021533</v>
      </c>
      <c r="G31" s="224" t="s">
        <v>5</v>
      </c>
      <c r="H31" s="227">
        <v>12198</v>
      </c>
      <c r="I31" s="242">
        <f>H31*(CPI!F6/CPI!E6)</f>
        <v>12602.980079681274</v>
      </c>
    </row>
    <row r="32" spans="1:16" ht="16">
      <c r="A32" s="430"/>
      <c r="B32" s="224" t="s">
        <v>75</v>
      </c>
      <c r="C32" s="227">
        <v>2163</v>
      </c>
      <c r="D32" s="227">
        <f>C32*CPI!D10/CPI!C10</f>
        <v>2218.23493360572</v>
      </c>
      <c r="E32" s="227">
        <f>$C$32*CPI!E7/CPI!C7</f>
        <v>2258.2574031890663</v>
      </c>
      <c r="F32" s="227">
        <f>$C$32*CPI!F7/CPI!D7</f>
        <v>2252.9910846953935</v>
      </c>
      <c r="G32" s="224" t="s">
        <v>75</v>
      </c>
      <c r="H32" s="227">
        <v>2422</v>
      </c>
      <c r="I32" s="242">
        <f>H32*(CPI!F10/CPI!E10)</f>
        <v>2434.0019821605551</v>
      </c>
    </row>
    <row r="33" spans="1:9" ht="16">
      <c r="A33" s="430"/>
      <c r="B33" s="225" t="s">
        <v>9</v>
      </c>
      <c r="C33" s="228">
        <v>2927</v>
      </c>
      <c r="D33" s="228"/>
      <c r="E33" s="228"/>
      <c r="F33" s="228"/>
      <c r="G33" s="225" t="s">
        <v>9</v>
      </c>
      <c r="H33" s="228">
        <v>4004</v>
      </c>
      <c r="I33" s="245"/>
    </row>
    <row r="34" spans="1:9" ht="16">
      <c r="A34" s="430"/>
      <c r="B34" s="225" t="s">
        <v>8</v>
      </c>
      <c r="C34" s="228">
        <v>7971</v>
      </c>
      <c r="D34" s="228"/>
      <c r="E34" s="228"/>
      <c r="F34" s="228"/>
      <c r="G34" s="225" t="s">
        <v>8</v>
      </c>
      <c r="H34" s="228">
        <v>11151</v>
      </c>
      <c r="I34" s="245"/>
    </row>
    <row r="35" spans="1:9" ht="16">
      <c r="A35" s="435"/>
      <c r="B35" s="286" t="s">
        <v>76</v>
      </c>
      <c r="C35" s="287">
        <v>11279</v>
      </c>
      <c r="D35" s="227">
        <f>C35*CPI!D5/CPI!C5</f>
        <v>11542.939157566303</v>
      </c>
      <c r="E35" s="227">
        <f>D35*CPI!E5/CPI!D5</f>
        <v>11789.282371294852</v>
      </c>
      <c r="F35" s="227">
        <f>E35*CPI!F5/CPI!E5</f>
        <v>11991.63572542902</v>
      </c>
      <c r="G35" s="286" t="s">
        <v>76</v>
      </c>
      <c r="H35" s="287">
        <v>11924</v>
      </c>
      <c r="I35" s="242">
        <f>H35*(CPI!F5/CPI!E5)</f>
        <v>12128.665671641791</v>
      </c>
    </row>
    <row r="36" spans="1:9" s="25" customFormat="1" ht="16">
      <c r="A36" s="429" t="s">
        <v>99</v>
      </c>
      <c r="B36" s="229" t="s">
        <v>74</v>
      </c>
      <c r="C36" s="230">
        <v>35698</v>
      </c>
      <c r="D36" s="230"/>
      <c r="E36" s="230"/>
      <c r="F36" s="230"/>
      <c r="G36" s="229" t="s">
        <v>74</v>
      </c>
      <c r="H36" s="230">
        <f>SUM(H37:H41)</f>
        <v>42025</v>
      </c>
      <c r="I36" s="240"/>
    </row>
    <row r="37" spans="1:9" s="25" customFormat="1" ht="16">
      <c r="A37" s="430"/>
      <c r="B37" s="79" t="s">
        <v>5</v>
      </c>
      <c r="C37" s="226">
        <v>11591</v>
      </c>
      <c r="D37" s="226"/>
      <c r="E37" s="226"/>
      <c r="F37" s="226"/>
      <c r="G37" s="79" t="s">
        <v>5</v>
      </c>
      <c r="H37" s="226">
        <v>11757</v>
      </c>
      <c r="I37" s="241"/>
    </row>
    <row r="38" spans="1:9" s="25" customFormat="1" ht="16">
      <c r="A38" s="430"/>
      <c r="B38" s="79" t="s">
        <v>75</v>
      </c>
      <c r="C38" s="226">
        <v>2163</v>
      </c>
      <c r="D38" s="226"/>
      <c r="E38" s="226"/>
      <c r="F38" s="226"/>
      <c r="G38" s="79" t="s">
        <v>75</v>
      </c>
      <c r="H38" s="226">
        <v>2422</v>
      </c>
      <c r="I38" s="241"/>
    </row>
    <row r="39" spans="1:9" s="25" customFormat="1" ht="16">
      <c r="A39" s="430"/>
      <c r="B39" s="79" t="s">
        <v>9</v>
      </c>
      <c r="C39" s="226">
        <v>2339</v>
      </c>
      <c r="D39" s="226"/>
      <c r="E39" s="226"/>
      <c r="F39" s="226"/>
      <c r="G39" s="79" t="s">
        <v>9</v>
      </c>
      <c r="H39" s="226">
        <v>3887</v>
      </c>
      <c r="I39" s="241"/>
    </row>
    <row r="40" spans="1:9" s="25" customFormat="1" ht="16">
      <c r="A40" s="430"/>
      <c r="B40" s="79" t="s">
        <v>8</v>
      </c>
      <c r="C40" s="226">
        <v>9240</v>
      </c>
      <c r="D40" s="226"/>
      <c r="E40" s="226"/>
      <c r="F40" s="226"/>
      <c r="G40" s="79" t="s">
        <v>8</v>
      </c>
      <c r="H40" s="226">
        <v>12368</v>
      </c>
      <c r="I40" s="241"/>
    </row>
    <row r="41" spans="1:9" s="25" customFormat="1" ht="17" thickBot="1">
      <c r="A41" s="431"/>
      <c r="B41" s="246" t="s">
        <v>76</v>
      </c>
      <c r="C41" s="247">
        <v>10366</v>
      </c>
      <c r="D41" s="247"/>
      <c r="E41" s="247"/>
      <c r="F41" s="247"/>
      <c r="G41" s="246" t="s">
        <v>76</v>
      </c>
      <c r="H41" s="247">
        <v>11591</v>
      </c>
      <c r="I41" s="248"/>
    </row>
    <row r="42" spans="1:9" s="25" customFormat="1">
      <c r="A42" s="9"/>
      <c r="B42" s="28"/>
    </row>
    <row r="43" spans="1:9">
      <c r="A43" s="25" t="s">
        <v>60</v>
      </c>
      <c r="B43" s="25"/>
    </row>
    <row r="44" spans="1:9">
      <c r="A44" s="25">
        <v>1</v>
      </c>
      <c r="B44" s="25" t="s">
        <v>77</v>
      </c>
    </row>
    <row r="45" spans="1:9">
      <c r="A45" s="25">
        <v>2</v>
      </c>
      <c r="B45" s="27" t="s">
        <v>78</v>
      </c>
    </row>
    <row r="46" spans="1:9">
      <c r="A46" s="25">
        <v>3</v>
      </c>
      <c r="B46" s="27" t="s">
        <v>79</v>
      </c>
    </row>
    <row r="47" spans="1:9">
      <c r="A47" s="25" t="s">
        <v>326</v>
      </c>
      <c r="B47" s="25"/>
    </row>
    <row r="48" spans="1:9">
      <c r="A48" s="25" t="s">
        <v>327</v>
      </c>
    </row>
    <row r="50" spans="1:2">
      <c r="A50" t="s">
        <v>328</v>
      </c>
    </row>
    <row r="51" spans="1:2">
      <c r="A51" s="466" t="s">
        <v>101</v>
      </c>
    </row>
    <row r="52" spans="1:2">
      <c r="A52" s="466" t="s">
        <v>100</v>
      </c>
    </row>
    <row r="53" spans="1:2">
      <c r="A53" s="26"/>
      <c r="B53" s="25"/>
    </row>
    <row r="54" spans="1:2">
      <c r="B54" s="25"/>
    </row>
  </sheetData>
  <mergeCells count="6">
    <mergeCell ref="A36:A41"/>
    <mergeCell ref="A6:A11"/>
    <mergeCell ref="A12:A17"/>
    <mergeCell ref="A18:A23"/>
    <mergeCell ref="A24:A29"/>
    <mergeCell ref="A30:A35"/>
  </mergeCells>
  <pageMargins left="0.7" right="0.7" top="0.75" bottom="0.75" header="0.3" footer="0.3"/>
  <pageSetup orientation="portrait" horizontalDpi="4294967295" verticalDpi="429496729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103"/>
  <sheetViews>
    <sheetView tabSelected="1" zoomScaleNormal="100" workbookViewId="0">
      <selection activeCell="S52" sqref="S52"/>
    </sheetView>
  </sheetViews>
  <sheetFormatPr baseColWidth="10" defaultColWidth="8.83203125" defaultRowHeight="15"/>
  <cols>
    <col min="1" max="1" width="52.6640625" style="9" customWidth="1"/>
    <col min="2" max="2" width="12.6640625" style="177" bestFit="1" customWidth="1"/>
    <col min="3" max="3" width="66.1640625" customWidth="1"/>
    <col min="4" max="4" width="10.5" customWidth="1"/>
    <col min="5" max="5" width="11.1640625" customWidth="1"/>
    <col min="6" max="6" width="10.83203125" customWidth="1"/>
    <col min="7" max="7" width="10" customWidth="1"/>
    <col min="8" max="8" width="10.33203125" customWidth="1"/>
    <col min="9" max="9" width="48.33203125" customWidth="1"/>
    <col min="10" max="10" width="8.83203125" customWidth="1"/>
    <col min="12" max="12" width="11" bestFit="1" customWidth="1"/>
    <col min="13" max="13" width="9.33203125" customWidth="1"/>
    <col min="14" max="14" width="8.83203125" customWidth="1"/>
    <col min="18" max="18" width="11.33203125" customWidth="1"/>
  </cols>
  <sheetData>
    <row r="1" spans="1:11" ht="20">
      <c r="A1" s="458" t="s">
        <v>260</v>
      </c>
      <c r="B1" s="458"/>
      <c r="C1" s="467" t="s">
        <v>329</v>
      </c>
      <c r="D1" s="467"/>
      <c r="I1" s="37"/>
      <c r="J1" s="37"/>
      <c r="K1" s="37"/>
    </row>
    <row r="2" spans="1:11" ht="16" thickBot="1">
      <c r="A2" s="5"/>
      <c r="B2" s="34"/>
      <c r="I2" s="37"/>
      <c r="J2" s="37"/>
      <c r="K2" s="37"/>
    </row>
    <row r="3" spans="1:11" ht="16">
      <c r="A3" s="448" t="s">
        <v>311</v>
      </c>
      <c r="B3" s="449"/>
      <c r="I3" s="37"/>
      <c r="J3" s="37"/>
      <c r="K3" s="37"/>
    </row>
    <row r="4" spans="1:11">
      <c r="A4" s="163" t="s">
        <v>276</v>
      </c>
      <c r="B4" s="170">
        <v>900</v>
      </c>
      <c r="C4" s="91"/>
      <c r="I4" s="37"/>
      <c r="J4" s="37"/>
      <c r="K4" s="37"/>
    </row>
    <row r="5" spans="1:11">
      <c r="A5" s="163" t="s">
        <v>80</v>
      </c>
      <c r="B5" s="171">
        <f>300/12</f>
        <v>25</v>
      </c>
      <c r="C5" s="92" t="s">
        <v>330</v>
      </c>
      <c r="D5" s="55"/>
      <c r="E5" s="55"/>
      <c r="I5" s="138"/>
      <c r="J5" s="139"/>
      <c r="K5" s="39"/>
    </row>
    <row r="6" spans="1:11" s="25" customFormat="1">
      <c r="A6" s="168" t="s">
        <v>265</v>
      </c>
      <c r="B6" s="167"/>
      <c r="F6" s="21"/>
      <c r="G6" s="396"/>
      <c r="I6" s="37"/>
      <c r="J6" s="37"/>
      <c r="K6" s="37"/>
    </row>
    <row r="7" spans="1:11" s="25" customFormat="1">
      <c r="A7" s="398" t="s">
        <v>82</v>
      </c>
      <c r="B7" s="172">
        <v>17.2</v>
      </c>
      <c r="C7" s="9" t="s">
        <v>261</v>
      </c>
      <c r="F7" s="21"/>
      <c r="G7" s="396"/>
      <c r="I7" s="37"/>
      <c r="J7" s="37"/>
      <c r="K7" s="37"/>
    </row>
    <row r="8" spans="1:11" s="25" customFormat="1">
      <c r="A8" s="399" t="s">
        <v>83</v>
      </c>
      <c r="B8" s="172">
        <f>0.1028*1500</f>
        <v>154.20000000000002</v>
      </c>
      <c r="C8" s="9"/>
      <c r="F8" s="21"/>
      <c r="G8" s="396"/>
      <c r="I8" s="37"/>
      <c r="J8" s="37"/>
      <c r="K8" s="37"/>
    </row>
    <row r="9" spans="1:11" s="25" customFormat="1">
      <c r="A9" s="399" t="s">
        <v>84</v>
      </c>
      <c r="B9" s="172">
        <f>(B7+B8)*0.15</f>
        <v>25.71</v>
      </c>
      <c r="C9" s="9"/>
      <c r="F9" s="21"/>
      <c r="G9" s="396"/>
      <c r="I9" s="37"/>
      <c r="J9" s="37"/>
      <c r="K9" s="37"/>
    </row>
    <row r="10" spans="1:11" s="25" customFormat="1">
      <c r="A10" s="399" t="s">
        <v>238</v>
      </c>
      <c r="B10" s="172">
        <f>SUM(B7:B9)</f>
        <v>197.11</v>
      </c>
      <c r="C10" s="9"/>
      <c r="E10" s="21"/>
      <c r="F10" s="21"/>
      <c r="G10" s="396"/>
      <c r="I10" s="37"/>
      <c r="J10" s="37"/>
      <c r="K10" s="37"/>
    </row>
    <row r="11" spans="1:11">
      <c r="A11" s="180" t="s">
        <v>121</v>
      </c>
      <c r="B11" s="171">
        <f>64.99*1.15</f>
        <v>74.738499999999988</v>
      </c>
      <c r="C11" s="9" t="s">
        <v>331</v>
      </c>
      <c r="I11" s="37"/>
      <c r="J11" s="37"/>
      <c r="K11" s="37"/>
    </row>
    <row r="12" spans="1:11" s="25" customFormat="1">
      <c r="A12" s="403" t="s">
        <v>313</v>
      </c>
      <c r="B12" s="171">
        <f>60*1.15</f>
        <v>69</v>
      </c>
      <c r="C12" s="9"/>
      <c r="I12" s="37"/>
      <c r="J12" s="37"/>
      <c r="K12" s="37"/>
    </row>
    <row r="13" spans="1:11">
      <c r="A13" s="181" t="s">
        <v>81</v>
      </c>
      <c r="B13" s="173">
        <f>B4+B5+B10+B11+(B12/12)</f>
        <v>1202.5985000000001</v>
      </c>
      <c r="C13" s="25"/>
      <c r="I13" s="37"/>
      <c r="J13" s="37"/>
      <c r="K13" s="37"/>
    </row>
    <row r="14" spans="1:11" ht="16" thickBot="1">
      <c r="A14" s="182" t="s">
        <v>289</v>
      </c>
      <c r="B14" s="174">
        <f>B13*12</f>
        <v>14431.182000000001</v>
      </c>
      <c r="C14" s="25"/>
      <c r="I14" s="37"/>
      <c r="J14" s="37"/>
      <c r="K14" s="37"/>
    </row>
    <row r="15" spans="1:11" s="25" customFormat="1">
      <c r="A15" s="183"/>
      <c r="B15" s="93"/>
      <c r="I15" s="37"/>
      <c r="J15" s="37"/>
      <c r="K15" s="37"/>
    </row>
    <row r="16" spans="1:11" s="25" customFormat="1" ht="16" thickBot="1">
      <c r="A16" s="29"/>
      <c r="B16" s="35"/>
      <c r="I16" s="37"/>
      <c r="J16" s="39"/>
      <c r="K16" s="37"/>
    </row>
    <row r="17" spans="1:11" s="25" customFormat="1" ht="16">
      <c r="A17" s="448" t="s">
        <v>75</v>
      </c>
      <c r="B17" s="449"/>
      <c r="I17" s="166"/>
      <c r="J17" s="139"/>
      <c r="K17" s="39"/>
    </row>
    <row r="18" spans="1:11" s="25" customFormat="1">
      <c r="A18" s="163" t="s">
        <v>262</v>
      </c>
      <c r="B18" s="169">
        <f>MBM!H32</f>
        <v>2422</v>
      </c>
      <c r="I18" s="223"/>
      <c r="J18" s="139"/>
      <c r="K18" s="39"/>
    </row>
    <row r="19" spans="1:11" s="25" customFormat="1">
      <c r="A19" s="165" t="s">
        <v>134</v>
      </c>
      <c r="B19" s="175">
        <f>MBM!I32</f>
        <v>2434.0019821605551</v>
      </c>
      <c r="C19"/>
      <c r="I19" s="37"/>
      <c r="J19" s="39"/>
      <c r="K19" s="37"/>
    </row>
    <row r="20" spans="1:11" s="25" customFormat="1" ht="16" thickBot="1">
      <c r="A20" s="182" t="s">
        <v>81</v>
      </c>
      <c r="B20" s="174">
        <f>B19/12</f>
        <v>202.8334985133796</v>
      </c>
      <c r="I20" s="37"/>
      <c r="J20" s="39"/>
      <c r="K20" s="37"/>
    </row>
    <row r="21" spans="1:11" s="25" customFormat="1">
      <c r="A21" s="158"/>
      <c r="B21" s="93"/>
      <c r="I21" s="37"/>
      <c r="J21" s="39"/>
      <c r="K21" s="37"/>
    </row>
    <row r="22" spans="1:11" s="25" customFormat="1" ht="16" thickBot="1">
      <c r="A22" s="30"/>
      <c r="B22" s="35"/>
      <c r="J22" s="21"/>
    </row>
    <row r="23" spans="1:11" s="25" customFormat="1" ht="16">
      <c r="A23" s="448" t="s">
        <v>138</v>
      </c>
      <c r="B23" s="449"/>
      <c r="C23"/>
    </row>
    <row r="24" spans="1:11" s="25" customFormat="1">
      <c r="A24" s="163" t="s">
        <v>332</v>
      </c>
      <c r="B24" s="191">
        <f>MBM!I35</f>
        <v>12128.665671641791</v>
      </c>
      <c r="C24" s="9"/>
    </row>
    <row r="25" spans="1:11" s="25" customFormat="1">
      <c r="A25" s="184" t="s">
        <v>309</v>
      </c>
      <c r="B25" s="191">
        <f>B24*0.6</f>
        <v>7277.1994029850748</v>
      </c>
    </row>
    <row r="26" spans="1:11">
      <c r="A26" s="163" t="s">
        <v>310</v>
      </c>
      <c r="B26" s="191">
        <f>B24*0.4</f>
        <v>4851.4662686567162</v>
      </c>
      <c r="C26" s="21"/>
    </row>
    <row r="27" spans="1:11" s="25" customFormat="1">
      <c r="A27" s="164" t="s">
        <v>81</v>
      </c>
      <c r="B27" s="176">
        <f>B24/12</f>
        <v>1010.7221393034825</v>
      </c>
      <c r="C27" s="21"/>
    </row>
    <row r="28" spans="1:11" s="25" customFormat="1" ht="16" thickBot="1">
      <c r="A28" s="160" t="s">
        <v>289</v>
      </c>
      <c r="B28" s="162">
        <f>B27*12</f>
        <v>12128.665671641791</v>
      </c>
      <c r="C28" s="21"/>
    </row>
    <row r="29" spans="1:11" s="25" customFormat="1">
      <c r="A29" s="48"/>
      <c r="B29" s="159"/>
      <c r="C29" s="21"/>
    </row>
    <row r="30" spans="1:11" s="25" customFormat="1" ht="16" thickBot="1">
      <c r="A30" s="9"/>
      <c r="B30" s="36"/>
    </row>
    <row r="31" spans="1:11" ht="16">
      <c r="A31" s="448" t="s">
        <v>9</v>
      </c>
      <c r="B31" s="449"/>
      <c r="C31" s="25"/>
    </row>
    <row r="32" spans="1:11" s="25" customFormat="1">
      <c r="A32" s="193" t="s">
        <v>85</v>
      </c>
      <c r="B32" s="194">
        <f>77*12</f>
        <v>924</v>
      </c>
      <c r="C32" s="25" t="s">
        <v>264</v>
      </c>
    </row>
    <row r="33" spans="1:7">
      <c r="A33" s="163" t="s">
        <v>290</v>
      </c>
      <c r="B33" s="194">
        <f>MBM!I15</f>
        <v>4607.8231827111986</v>
      </c>
      <c r="C33" s="25"/>
      <c r="D33" s="25"/>
      <c r="E33" s="25"/>
      <c r="F33" s="25"/>
    </row>
    <row r="34" spans="1:7">
      <c r="A34" s="163" t="s">
        <v>291</v>
      </c>
      <c r="B34" s="194">
        <f>15*4*12</f>
        <v>720</v>
      </c>
      <c r="C34" s="25" t="s">
        <v>330</v>
      </c>
      <c r="D34" s="25"/>
      <c r="E34" s="25"/>
      <c r="F34" s="25"/>
    </row>
    <row r="35" spans="1:7">
      <c r="A35" s="164" t="s">
        <v>81</v>
      </c>
      <c r="B35" s="196">
        <f>B36/12</f>
        <v>520.98526522593318</v>
      </c>
      <c r="C35" s="25"/>
      <c r="D35" s="25"/>
      <c r="E35" s="25"/>
      <c r="F35" s="25"/>
    </row>
    <row r="36" spans="1:7" ht="16" thickBot="1">
      <c r="A36" s="160" t="s">
        <v>289</v>
      </c>
      <c r="B36" s="195">
        <f>SUM(B31:B34)</f>
        <v>6251.8231827111986</v>
      </c>
      <c r="C36" s="25"/>
      <c r="D36" s="25"/>
      <c r="E36" s="25"/>
      <c r="F36" s="25"/>
    </row>
    <row r="37" spans="1:7" s="25" customFormat="1">
      <c r="A37" s="17"/>
      <c r="B37" s="192"/>
    </row>
    <row r="38" spans="1:7" ht="16" thickBot="1">
      <c r="A38" s="17"/>
      <c r="B38" s="36"/>
      <c r="C38" s="25"/>
      <c r="D38" s="25"/>
      <c r="E38" s="25"/>
      <c r="F38" s="25"/>
    </row>
    <row r="39" spans="1:7" ht="16">
      <c r="A39" s="448" t="s">
        <v>13</v>
      </c>
      <c r="B39" s="449"/>
      <c r="C39" s="7"/>
      <c r="D39" s="25"/>
      <c r="E39" s="25"/>
      <c r="F39" s="25"/>
    </row>
    <row r="40" spans="1:7" s="25" customFormat="1">
      <c r="A40" s="163" t="s">
        <v>337</v>
      </c>
      <c r="B40" s="169">
        <f>165*1</f>
        <v>165</v>
      </c>
      <c r="C40" s="11" t="s">
        <v>333</v>
      </c>
    </row>
    <row r="41" spans="1:7" s="25" customFormat="1">
      <c r="A41" s="163" t="s">
        <v>142</v>
      </c>
      <c r="B41" s="169">
        <v>120</v>
      </c>
      <c r="C41" s="11" t="s">
        <v>334</v>
      </c>
    </row>
    <row r="42" spans="1:7">
      <c r="A42" s="163" t="s">
        <v>120</v>
      </c>
      <c r="B42" s="169">
        <f>125*1</f>
        <v>125</v>
      </c>
      <c r="C42" s="11"/>
      <c r="D42" s="25"/>
      <c r="E42" s="25"/>
      <c r="F42" s="25"/>
    </row>
    <row r="43" spans="1:7">
      <c r="A43" s="164" t="s">
        <v>81</v>
      </c>
      <c r="B43" s="175">
        <f>B44/12</f>
        <v>113.33333333333333</v>
      </c>
      <c r="C43" s="11"/>
      <c r="D43" s="25"/>
      <c r="E43" s="25"/>
      <c r="F43" s="25"/>
    </row>
    <row r="44" spans="1:7" ht="16" thickBot="1">
      <c r="A44" s="160" t="s">
        <v>86</v>
      </c>
      <c r="B44" s="197">
        <f>(B40*6)+B41+(B42*2)</f>
        <v>1360</v>
      </c>
      <c r="C44" s="11"/>
      <c r="D44" s="4"/>
      <c r="E44" s="4"/>
      <c r="F44" s="41"/>
      <c r="G44" s="41"/>
    </row>
    <row r="45" spans="1:7" s="25" customFormat="1">
      <c r="A45" s="17"/>
      <c r="B45" s="35"/>
      <c r="C45" s="11"/>
      <c r="D45" s="4"/>
      <c r="E45" s="4"/>
      <c r="F45" s="41"/>
      <c r="G45" s="41"/>
    </row>
    <row r="46" spans="1:7" ht="16" thickBot="1">
      <c r="A46" s="185"/>
      <c r="C46" s="11"/>
      <c r="D46" s="25"/>
      <c r="E46" s="25"/>
      <c r="F46" s="25"/>
    </row>
    <row r="47" spans="1:7" ht="16">
      <c r="A47" s="464" t="s">
        <v>10</v>
      </c>
      <c r="B47" s="465"/>
      <c r="C47" s="11"/>
      <c r="D47" s="25"/>
      <c r="F47" s="25"/>
    </row>
    <row r="48" spans="1:7" s="25" customFormat="1">
      <c r="A48" s="200" t="s">
        <v>132</v>
      </c>
      <c r="B48" s="169">
        <f>I64</f>
        <v>8856.84</v>
      </c>
      <c r="C48" s="9" t="s">
        <v>272</v>
      </c>
    </row>
    <row r="49" spans="1:19" s="25" customFormat="1" ht="16" thickBot="1">
      <c r="A49" s="200" t="s">
        <v>87</v>
      </c>
      <c r="B49" s="169">
        <f>I69</f>
        <v>4777.5</v>
      </c>
      <c r="C49" s="9" t="s">
        <v>330</v>
      </c>
    </row>
    <row r="50" spans="1:19" ht="16" thickBot="1">
      <c r="A50" s="200" t="s">
        <v>88</v>
      </c>
      <c r="B50" s="169">
        <f>I74</f>
        <v>980</v>
      </c>
      <c r="C50" s="9" t="s">
        <v>330</v>
      </c>
      <c r="D50" s="25"/>
      <c r="E50" s="25"/>
      <c r="F50" s="25"/>
      <c r="K50" s="442" t="s">
        <v>242</v>
      </c>
      <c r="L50" s="443"/>
      <c r="M50" s="443"/>
      <c r="N50" s="444"/>
      <c r="P50" s="442" t="s">
        <v>243</v>
      </c>
      <c r="Q50" s="443"/>
      <c r="R50" s="444"/>
      <c r="S50" t="s">
        <v>292</v>
      </c>
    </row>
    <row r="51" spans="1:19" ht="16" thickBot="1">
      <c r="A51" s="200" t="s">
        <v>277</v>
      </c>
      <c r="B51" s="169">
        <f>18*14</f>
        <v>252</v>
      </c>
      <c r="C51" s="90" t="s">
        <v>251</v>
      </c>
      <c r="D51" s="25"/>
      <c r="K51" s="423" t="s">
        <v>104</v>
      </c>
      <c r="L51" s="447"/>
      <c r="M51" s="217" t="s">
        <v>108</v>
      </c>
      <c r="N51" s="207" t="s">
        <v>109</v>
      </c>
      <c r="P51" s="445" t="s">
        <v>104</v>
      </c>
      <c r="Q51" s="446"/>
      <c r="R51" s="207" t="s">
        <v>108</v>
      </c>
      <c r="S51" s="86"/>
    </row>
    <row r="52" spans="1:19">
      <c r="A52" s="200" t="s">
        <v>89</v>
      </c>
      <c r="B52" s="201">
        <v>0</v>
      </c>
      <c r="C52" s="90"/>
      <c r="D52" s="25"/>
      <c r="E52" s="452" t="s">
        <v>105</v>
      </c>
      <c r="F52" s="453"/>
      <c r="G52" s="453"/>
      <c r="H52" s="453"/>
      <c r="I52" s="454"/>
      <c r="J52" s="37"/>
      <c r="K52" s="218">
        <v>0</v>
      </c>
      <c r="L52" s="49">
        <v>30000</v>
      </c>
      <c r="M52" s="50">
        <v>24.25</v>
      </c>
      <c r="N52" s="219">
        <v>12.75</v>
      </c>
      <c r="O52" s="25"/>
      <c r="P52" s="208">
        <v>0</v>
      </c>
      <c r="Q52" s="206">
        <v>30000</v>
      </c>
      <c r="R52" s="209">
        <v>32.090000000000003</v>
      </c>
    </row>
    <row r="53" spans="1:19" ht="16" thickBot="1">
      <c r="A53" s="202" t="s">
        <v>289</v>
      </c>
      <c r="B53" s="175">
        <f>SUM(B48:B52)</f>
        <v>14866.34</v>
      </c>
      <c r="C53" s="25"/>
      <c r="E53" s="461" t="s">
        <v>117</v>
      </c>
      <c r="F53" s="463"/>
      <c r="G53" s="463"/>
      <c r="H53" s="462"/>
      <c r="I53" s="129">
        <f>'2020 Living Wage Income'!D38-('2020 Living Wage Income'!D41+'2020 Living Wage Income'!D42+'2020 Living Wage Income'!D43+'2020 Living Wage Income'!D44)</f>
        <v>59994.996687799998</v>
      </c>
      <c r="J53" s="40"/>
      <c r="K53" s="210">
        <v>30001</v>
      </c>
      <c r="L53" s="42">
        <v>31000</v>
      </c>
      <c r="M53" s="51">
        <v>21.27</v>
      </c>
      <c r="N53" s="212">
        <v>11.44</v>
      </c>
      <c r="P53" s="210">
        <v>30001</v>
      </c>
      <c r="Q53" s="42">
        <v>31000</v>
      </c>
      <c r="R53" s="209">
        <v>32.090000000000003</v>
      </c>
    </row>
    <row r="54" spans="1:19" s="25" customFormat="1" ht="17" thickTop="1" thickBot="1">
      <c r="A54" s="203" t="s">
        <v>81</v>
      </c>
      <c r="B54" s="197">
        <f>B53/12</f>
        <v>1238.8616666666667</v>
      </c>
      <c r="E54" s="145"/>
      <c r="F54" s="147"/>
      <c r="G54" s="147"/>
      <c r="H54" s="146"/>
      <c r="I54" s="199"/>
      <c r="J54" s="40"/>
      <c r="K54" s="210">
        <v>31001</v>
      </c>
      <c r="L54" s="42">
        <v>32000</v>
      </c>
      <c r="M54" s="51">
        <v>18.66</v>
      </c>
      <c r="N54" s="212">
        <v>10.26</v>
      </c>
      <c r="O54"/>
      <c r="P54" s="210">
        <v>31001</v>
      </c>
      <c r="Q54" s="42">
        <v>32000</v>
      </c>
      <c r="R54" s="209">
        <v>32.090000000000003</v>
      </c>
    </row>
    <row r="55" spans="1:19">
      <c r="A55" s="198"/>
      <c r="B55" s="35"/>
      <c r="C55" s="25"/>
      <c r="D55" s="21"/>
      <c r="E55" s="461"/>
      <c r="F55" s="462"/>
      <c r="G55" s="22" t="s">
        <v>106</v>
      </c>
      <c r="H55" s="22" t="s">
        <v>107</v>
      </c>
      <c r="I55" s="130" t="s">
        <v>110</v>
      </c>
      <c r="J55" s="39"/>
      <c r="K55" s="210">
        <v>32001</v>
      </c>
      <c r="L55" s="42">
        <v>33000</v>
      </c>
      <c r="M55" s="51">
        <v>16.37</v>
      </c>
      <c r="N55" s="212">
        <v>9.1999999999999993</v>
      </c>
      <c r="P55" s="210">
        <v>32001</v>
      </c>
      <c r="Q55" s="42">
        <v>33000</v>
      </c>
      <c r="R55" s="209">
        <v>32.090000000000003</v>
      </c>
    </row>
    <row r="56" spans="1:19" ht="16" thickBot="1">
      <c r="A56" s="53"/>
      <c r="B56" s="34"/>
      <c r="C56" s="54"/>
      <c r="E56" s="459" t="s">
        <v>114</v>
      </c>
      <c r="F56" s="460"/>
      <c r="G56" s="38">
        <f>12*23</f>
        <v>276</v>
      </c>
      <c r="H56" s="33">
        <f>LOOKUP(I53, P52:Q92, R52:R92)</f>
        <v>11.39</v>
      </c>
      <c r="I56" s="131">
        <f>G56*H56</f>
        <v>3143.6400000000003</v>
      </c>
      <c r="K56" s="210">
        <v>33001</v>
      </c>
      <c r="L56" s="42">
        <v>34000</v>
      </c>
      <c r="M56" s="51">
        <v>14.36</v>
      </c>
      <c r="N56" s="212">
        <v>8.25</v>
      </c>
      <c r="O56" s="25"/>
      <c r="P56" s="210">
        <v>33001</v>
      </c>
      <c r="Q56" s="42">
        <v>34000</v>
      </c>
      <c r="R56" s="209">
        <v>32.090000000000003</v>
      </c>
    </row>
    <row r="57" spans="1:19" s="25" customFormat="1" ht="16">
      <c r="A57" s="450" t="s">
        <v>113</v>
      </c>
      <c r="B57" s="451"/>
      <c r="E57" s="459" t="s">
        <v>118</v>
      </c>
      <c r="F57" s="460"/>
      <c r="G57" s="38">
        <f>42*5</f>
        <v>210</v>
      </c>
      <c r="H57" s="33">
        <f>LOOKUP(I53, K52:L78, N52:N78)</f>
        <v>0</v>
      </c>
      <c r="I57" s="131">
        <f>G57*H57</f>
        <v>0</v>
      </c>
      <c r="K57" s="210">
        <v>34001</v>
      </c>
      <c r="L57" s="42">
        <v>35000</v>
      </c>
      <c r="M57" s="51">
        <v>12.6</v>
      </c>
      <c r="N57" s="212">
        <v>7.4</v>
      </c>
      <c r="P57" s="210">
        <v>34001</v>
      </c>
      <c r="Q57" s="42">
        <v>35000</v>
      </c>
      <c r="R57" s="209">
        <v>32.090000000000003</v>
      </c>
    </row>
    <row r="58" spans="1:19" s="25" customFormat="1">
      <c r="A58" s="200" t="s">
        <v>263</v>
      </c>
      <c r="B58" s="175">
        <f>MBM!I31</f>
        <v>12602.980079681274</v>
      </c>
      <c r="E58" s="143"/>
      <c r="F58" s="144"/>
      <c r="G58" s="38"/>
      <c r="H58" s="33"/>
      <c r="I58" s="131"/>
      <c r="K58" s="210">
        <v>35001</v>
      </c>
      <c r="L58" s="42">
        <v>36000</v>
      </c>
      <c r="M58" s="51">
        <v>11.05</v>
      </c>
      <c r="N58" s="212">
        <v>6.64</v>
      </c>
      <c r="O58"/>
      <c r="P58" s="210">
        <v>35001</v>
      </c>
      <c r="Q58" s="42">
        <v>36000</v>
      </c>
      <c r="R58" s="209">
        <v>32.090000000000003</v>
      </c>
    </row>
    <row r="59" spans="1:19" s="25" customFormat="1" ht="16" thickBot="1">
      <c r="A59" s="204" t="s">
        <v>81</v>
      </c>
      <c r="B59" s="197">
        <f>B58/12</f>
        <v>1050.2483399734394</v>
      </c>
      <c r="E59" s="459" t="s">
        <v>133</v>
      </c>
      <c r="F59" s="460"/>
      <c r="G59" s="38">
        <v>35</v>
      </c>
      <c r="H59" s="23">
        <v>0</v>
      </c>
      <c r="I59" s="131">
        <f>G59*H59</f>
        <v>0</v>
      </c>
      <c r="J59" s="39"/>
      <c r="K59" s="210">
        <v>36001</v>
      </c>
      <c r="L59" s="42">
        <v>37000</v>
      </c>
      <c r="M59" s="51">
        <v>9.69</v>
      </c>
      <c r="N59" s="212">
        <v>5.96</v>
      </c>
      <c r="O59"/>
      <c r="P59" s="210">
        <v>36001</v>
      </c>
      <c r="Q59" s="42">
        <v>37000</v>
      </c>
      <c r="R59" s="209">
        <v>32.090000000000003</v>
      </c>
    </row>
    <row r="60" spans="1:19" ht="16" thickBot="1">
      <c r="A60" s="53"/>
      <c r="B60" s="35"/>
      <c r="C60" s="25"/>
      <c r="D60" s="25"/>
      <c r="E60" s="455" t="s">
        <v>111</v>
      </c>
      <c r="F60" s="456"/>
      <c r="G60" s="456"/>
      <c r="H60" s="457"/>
      <c r="I60" s="132">
        <f>SUM(I56:I59)</f>
        <v>3143.6400000000003</v>
      </c>
      <c r="J60" s="39"/>
      <c r="K60" s="210">
        <v>37001</v>
      </c>
      <c r="L60" s="42">
        <v>38000</v>
      </c>
      <c r="M60" s="51">
        <v>8.5</v>
      </c>
      <c r="N60" s="212">
        <v>5.34</v>
      </c>
      <c r="O60" s="25"/>
      <c r="P60" s="210">
        <v>37001</v>
      </c>
      <c r="Q60" s="42">
        <v>38000</v>
      </c>
      <c r="R60" s="211">
        <v>32.090000000000003</v>
      </c>
    </row>
    <row r="61" spans="1:19" ht="16" thickBot="1">
      <c r="A61" s="186"/>
      <c r="B61" s="178"/>
      <c r="C61" s="25"/>
      <c r="D61" s="25"/>
      <c r="E61" s="25"/>
      <c r="F61" s="25"/>
      <c r="G61" s="25"/>
      <c r="H61" s="25"/>
      <c r="I61" s="25"/>
      <c r="J61" s="25"/>
      <c r="K61" s="210">
        <v>38001</v>
      </c>
      <c r="L61" s="42">
        <v>39000</v>
      </c>
      <c r="M61" s="51">
        <v>7.46</v>
      </c>
      <c r="N61" s="212">
        <v>4.79</v>
      </c>
      <c r="O61" s="25"/>
      <c r="P61" s="210">
        <v>38001</v>
      </c>
      <c r="Q61" s="42">
        <v>39000</v>
      </c>
      <c r="R61" s="212">
        <v>30.48</v>
      </c>
    </row>
    <row r="62" spans="1:19" s="25" customFormat="1" ht="17" thickBot="1">
      <c r="A62" s="448" t="s">
        <v>135</v>
      </c>
      <c r="B62" s="449"/>
      <c r="D62" s="55"/>
      <c r="E62" s="436" t="s">
        <v>248</v>
      </c>
      <c r="F62" s="437"/>
      <c r="G62" s="437"/>
      <c r="H62" s="437"/>
      <c r="I62" s="438"/>
      <c r="K62" s="210">
        <v>39001</v>
      </c>
      <c r="L62" s="42">
        <v>40000</v>
      </c>
      <c r="M62" s="51">
        <v>6.54</v>
      </c>
      <c r="N62" s="212">
        <v>4.3</v>
      </c>
      <c r="O62"/>
      <c r="P62" s="210">
        <v>39001</v>
      </c>
      <c r="Q62" s="42">
        <v>40000</v>
      </c>
      <c r="R62" s="212">
        <v>29.08</v>
      </c>
    </row>
    <row r="63" spans="1:19" s="25" customFormat="1">
      <c r="A63" s="163" t="s">
        <v>136</v>
      </c>
      <c r="B63" s="205">
        <v>176.33</v>
      </c>
      <c r="C63" s="25" t="s">
        <v>330</v>
      </c>
      <c r="D63" s="21"/>
      <c r="E63" s="87" t="s">
        <v>245</v>
      </c>
      <c r="F63" s="88"/>
      <c r="G63" s="88" t="s">
        <v>246</v>
      </c>
      <c r="H63" s="88" t="s">
        <v>247</v>
      </c>
      <c r="I63" s="94" t="s">
        <v>110</v>
      </c>
      <c r="K63" s="210">
        <v>40001</v>
      </c>
      <c r="L63" s="42">
        <v>41000</v>
      </c>
      <c r="M63" s="51">
        <v>5.74</v>
      </c>
      <c r="N63" s="212">
        <v>3.86</v>
      </c>
      <c r="O63"/>
      <c r="P63" s="210">
        <v>40001</v>
      </c>
      <c r="Q63" s="42">
        <v>41000</v>
      </c>
      <c r="R63" s="212">
        <v>27.75</v>
      </c>
    </row>
    <row r="64" spans="1:19" ht="16" thickBot="1">
      <c r="A64" s="161" t="s">
        <v>137</v>
      </c>
      <c r="B64" s="197">
        <f>B63*12</f>
        <v>2115.96</v>
      </c>
      <c r="C64" s="25"/>
      <c r="D64" s="21"/>
      <c r="E64" s="95" t="s">
        <v>252</v>
      </c>
      <c r="F64" s="96"/>
      <c r="G64" s="96">
        <v>276</v>
      </c>
      <c r="H64" s="97">
        <v>32.090000000000003</v>
      </c>
      <c r="I64" s="98">
        <f>H64*G64</f>
        <v>8856.84</v>
      </c>
      <c r="J64" s="25"/>
      <c r="K64" s="210">
        <v>41001</v>
      </c>
      <c r="L64" s="42">
        <v>42000</v>
      </c>
      <c r="M64" s="51">
        <v>5.03</v>
      </c>
      <c r="N64" s="212">
        <v>3.46</v>
      </c>
      <c r="P64" s="210">
        <v>41001</v>
      </c>
      <c r="Q64" s="42">
        <v>42000</v>
      </c>
      <c r="R64" s="212">
        <v>26.48</v>
      </c>
    </row>
    <row r="65" spans="1:18">
      <c r="A65" s="48"/>
      <c r="B65" s="43"/>
      <c r="C65" s="25"/>
      <c r="D65" s="21"/>
      <c r="E65" s="25"/>
      <c r="F65" s="25"/>
      <c r="G65" s="21"/>
      <c r="H65" s="81"/>
      <c r="I65" s="25"/>
      <c r="J65" s="25"/>
      <c r="K65" s="210">
        <v>42001</v>
      </c>
      <c r="L65" s="42">
        <v>43000</v>
      </c>
      <c r="M65" s="51">
        <v>4.42</v>
      </c>
      <c r="N65" s="212">
        <v>3.1</v>
      </c>
      <c r="P65" s="210">
        <v>42001</v>
      </c>
      <c r="Q65" s="42">
        <v>43000</v>
      </c>
      <c r="R65" s="212">
        <v>25.27</v>
      </c>
    </row>
    <row r="66" spans="1:18" ht="16" thickBot="1">
      <c r="A66" s="48"/>
      <c r="C66" s="46"/>
      <c r="D66" s="21"/>
      <c r="E66" s="25"/>
      <c r="F66" s="25"/>
      <c r="G66" s="25"/>
      <c r="H66" s="81"/>
      <c r="I66" s="25"/>
      <c r="J66" s="25"/>
      <c r="K66" s="210">
        <v>43001</v>
      </c>
      <c r="L66" s="42">
        <v>44000</v>
      </c>
      <c r="M66" s="51">
        <v>3.87</v>
      </c>
      <c r="N66" s="212">
        <v>2.78</v>
      </c>
      <c r="P66" s="210">
        <v>43001</v>
      </c>
      <c r="Q66" s="42">
        <v>44000</v>
      </c>
      <c r="R66" s="212">
        <v>24.11</v>
      </c>
    </row>
    <row r="67" spans="1:18" ht="16" thickBot="1">
      <c r="C67" s="45"/>
      <c r="D67" s="21"/>
      <c r="E67" s="436" t="s">
        <v>249</v>
      </c>
      <c r="F67" s="437"/>
      <c r="G67" s="437"/>
      <c r="H67" s="437"/>
      <c r="I67" s="438"/>
      <c r="J67" s="25"/>
      <c r="K67" s="210">
        <v>44001</v>
      </c>
      <c r="L67" s="42">
        <v>45000</v>
      </c>
      <c r="M67" s="51">
        <v>3.4</v>
      </c>
      <c r="N67" s="212">
        <v>2.5</v>
      </c>
      <c r="P67" s="210">
        <v>44001</v>
      </c>
      <c r="Q67" s="42">
        <v>45000</v>
      </c>
      <c r="R67" s="212">
        <v>23</v>
      </c>
    </row>
    <row r="68" spans="1:18" ht="16" thickBot="1">
      <c r="A68" s="187"/>
      <c r="B68" s="179"/>
      <c r="C68" s="45"/>
      <c r="D68" s="44"/>
      <c r="E68" s="83" t="s">
        <v>245</v>
      </c>
      <c r="F68" s="84"/>
      <c r="G68" s="84" t="s">
        <v>246</v>
      </c>
      <c r="H68" s="84" t="s">
        <v>247</v>
      </c>
      <c r="I68" s="85" t="s">
        <v>110</v>
      </c>
      <c r="J68" s="25"/>
      <c r="K68" s="210">
        <v>45001</v>
      </c>
      <c r="L68" s="42">
        <v>46000</v>
      </c>
      <c r="M68" s="51">
        <v>2.98</v>
      </c>
      <c r="N68" s="212">
        <v>2.2400000000000002</v>
      </c>
      <c r="P68" s="210">
        <v>45001</v>
      </c>
      <c r="Q68" s="42">
        <v>46000</v>
      </c>
      <c r="R68" s="212">
        <v>21.95</v>
      </c>
    </row>
    <row r="69" spans="1:18" ht="16" thickBot="1">
      <c r="A69" s="188"/>
      <c r="B69" s="179"/>
      <c r="D69" s="21"/>
      <c r="E69" s="133" t="s">
        <v>335</v>
      </c>
      <c r="F69" s="134"/>
      <c r="G69" s="134">
        <v>210</v>
      </c>
      <c r="H69" s="135">
        <v>22.75</v>
      </c>
      <c r="I69" s="136">
        <f>H69*G69</f>
        <v>4777.5</v>
      </c>
      <c r="J69" s="25"/>
      <c r="K69" s="210">
        <v>46001</v>
      </c>
      <c r="L69" s="42">
        <v>47000</v>
      </c>
      <c r="M69" s="51">
        <v>2.61</v>
      </c>
      <c r="N69" s="212">
        <v>2.0099999999999998</v>
      </c>
      <c r="P69" s="210">
        <v>46001</v>
      </c>
      <c r="Q69" s="42">
        <v>47000</v>
      </c>
      <c r="R69" s="212">
        <v>20.94</v>
      </c>
    </row>
    <row r="70" spans="1:18">
      <c r="A70" s="189"/>
      <c r="D70" s="25"/>
      <c r="H70" s="81"/>
      <c r="J70" s="25"/>
      <c r="K70" s="210">
        <v>47001</v>
      </c>
      <c r="L70" s="42">
        <v>48000</v>
      </c>
      <c r="M70" s="51">
        <v>2.29</v>
      </c>
      <c r="N70" s="212">
        <v>1.8</v>
      </c>
      <c r="P70" s="210">
        <v>47001</v>
      </c>
      <c r="Q70" s="42">
        <v>48000</v>
      </c>
      <c r="R70" s="212">
        <v>19.989999999999998</v>
      </c>
    </row>
    <row r="71" spans="1:18" ht="16" thickBot="1">
      <c r="A71" s="189"/>
      <c r="D71" s="25"/>
      <c r="H71" s="81"/>
      <c r="J71" s="25"/>
      <c r="K71" s="210">
        <v>48001</v>
      </c>
      <c r="L71" s="42">
        <v>49000</v>
      </c>
      <c r="M71" s="51">
        <v>2.0099999999999998</v>
      </c>
      <c r="N71" s="212">
        <v>1.62</v>
      </c>
      <c r="P71" s="210">
        <v>48001</v>
      </c>
      <c r="Q71" s="42">
        <v>49000</v>
      </c>
      <c r="R71" s="212">
        <v>19.07</v>
      </c>
    </row>
    <row r="72" spans="1:18" ht="16" thickBot="1">
      <c r="A72" s="190"/>
      <c r="D72" s="25"/>
      <c r="E72" s="439" t="s">
        <v>250</v>
      </c>
      <c r="F72" s="440"/>
      <c r="G72" s="440"/>
      <c r="H72" s="440"/>
      <c r="I72" s="441"/>
      <c r="J72" s="25"/>
      <c r="K72" s="210">
        <v>49001</v>
      </c>
      <c r="L72" s="42">
        <v>50000</v>
      </c>
      <c r="M72" s="51">
        <v>1.75</v>
      </c>
      <c r="N72" s="212">
        <v>1.45</v>
      </c>
      <c r="P72" s="210">
        <v>49001</v>
      </c>
      <c r="Q72" s="42">
        <v>50000</v>
      </c>
      <c r="R72" s="212">
        <v>18.2</v>
      </c>
    </row>
    <row r="73" spans="1:18" ht="16" thickBot="1">
      <c r="A73" s="190"/>
      <c r="D73" s="25"/>
      <c r="E73" s="83" t="s">
        <v>245</v>
      </c>
      <c r="F73" s="84"/>
      <c r="G73" s="84" t="s">
        <v>246</v>
      </c>
      <c r="H73" s="84" t="s">
        <v>247</v>
      </c>
      <c r="I73" s="85" t="s">
        <v>110</v>
      </c>
      <c r="K73" s="210">
        <v>50001</v>
      </c>
      <c r="L73" s="42">
        <v>51000</v>
      </c>
      <c r="M73" s="51">
        <v>1.55</v>
      </c>
      <c r="N73" s="212">
        <v>1.3</v>
      </c>
      <c r="P73" s="210">
        <v>50001</v>
      </c>
      <c r="Q73" s="42">
        <v>51000</v>
      </c>
      <c r="R73" s="212">
        <v>17.36</v>
      </c>
    </row>
    <row r="74" spans="1:18" ht="16" thickBot="1">
      <c r="E74" s="469" t="s">
        <v>336</v>
      </c>
      <c r="F74" s="470"/>
      <c r="G74" s="96">
        <v>35</v>
      </c>
      <c r="H74" s="471">
        <v>28</v>
      </c>
      <c r="I74" s="472">
        <f t="shared" ref="I74" si="0">G74*H74</f>
        <v>980</v>
      </c>
      <c r="K74" s="213">
        <v>51001</v>
      </c>
      <c r="L74" s="47">
        <v>52000</v>
      </c>
      <c r="M74" s="52">
        <v>1.36</v>
      </c>
      <c r="N74" s="214">
        <v>1.1599999999999999</v>
      </c>
      <c r="P74" s="213">
        <v>51001</v>
      </c>
      <c r="Q74" s="47">
        <v>52000</v>
      </c>
      <c r="R74" s="214">
        <v>16.57</v>
      </c>
    </row>
    <row r="75" spans="1:18">
      <c r="E75" s="54"/>
      <c r="F75" s="37"/>
      <c r="G75" s="37"/>
      <c r="H75" s="37"/>
      <c r="I75" s="37"/>
      <c r="K75" s="213">
        <v>52001</v>
      </c>
      <c r="L75" s="47">
        <v>53000</v>
      </c>
      <c r="M75" s="52">
        <v>1.19</v>
      </c>
      <c r="N75" s="214">
        <v>1.04</v>
      </c>
      <c r="P75" s="213">
        <v>52001</v>
      </c>
      <c r="Q75" s="47">
        <v>53000</v>
      </c>
      <c r="R75" s="214">
        <v>15.81</v>
      </c>
    </row>
    <row r="76" spans="1:18">
      <c r="E76" s="37"/>
      <c r="F76" s="37"/>
      <c r="G76" s="37"/>
      <c r="H76" s="468"/>
      <c r="I76" s="37"/>
      <c r="K76" s="213">
        <v>53001</v>
      </c>
      <c r="L76" s="47">
        <v>54000</v>
      </c>
      <c r="M76" s="52">
        <v>1.04</v>
      </c>
      <c r="N76" s="214">
        <v>0.94</v>
      </c>
      <c r="P76" s="213">
        <v>53001</v>
      </c>
      <c r="Q76" s="47">
        <v>54000</v>
      </c>
      <c r="R76" s="214">
        <v>15.09</v>
      </c>
    </row>
    <row r="77" spans="1:18">
      <c r="E77" s="37"/>
      <c r="F77" s="37"/>
      <c r="G77" s="37"/>
      <c r="H77" s="37"/>
      <c r="I77" s="37"/>
      <c r="K77" s="213">
        <v>54001</v>
      </c>
      <c r="L77" s="47">
        <v>55000</v>
      </c>
      <c r="M77" s="52">
        <v>0.92</v>
      </c>
      <c r="N77" s="214">
        <v>0.84</v>
      </c>
      <c r="P77" s="213">
        <v>54001</v>
      </c>
      <c r="Q77" s="47">
        <v>55000</v>
      </c>
      <c r="R77" s="214">
        <v>14.39</v>
      </c>
    </row>
    <row r="78" spans="1:18" ht="16" thickBot="1">
      <c r="E78" s="37"/>
      <c r="F78" s="37"/>
      <c r="G78" s="37"/>
      <c r="H78" s="37"/>
      <c r="I78" s="37"/>
      <c r="K78" s="215">
        <v>55001</v>
      </c>
      <c r="L78" s="220" t="s">
        <v>119</v>
      </c>
      <c r="M78" s="221">
        <v>0</v>
      </c>
      <c r="N78" s="216">
        <v>0</v>
      </c>
      <c r="P78" s="213">
        <v>55001</v>
      </c>
      <c r="Q78" s="47">
        <v>56000</v>
      </c>
      <c r="R78" s="214">
        <v>13.73</v>
      </c>
    </row>
    <row r="79" spans="1:18">
      <c r="E79" s="37"/>
      <c r="F79" s="37"/>
      <c r="G79" s="37"/>
      <c r="H79" s="468"/>
      <c r="I79" s="37"/>
      <c r="P79" s="213">
        <v>56001</v>
      </c>
      <c r="Q79" s="47">
        <v>57000</v>
      </c>
      <c r="R79" s="214">
        <v>13.11</v>
      </c>
    </row>
    <row r="80" spans="1:18">
      <c r="E80" s="37"/>
      <c r="F80" s="37"/>
      <c r="G80" s="37"/>
      <c r="H80" s="37"/>
      <c r="I80" s="37"/>
      <c r="P80" s="213">
        <v>57001</v>
      </c>
      <c r="Q80" s="47">
        <v>58000</v>
      </c>
      <c r="R80" s="214">
        <v>12.51</v>
      </c>
    </row>
    <row r="81" spans="5:18">
      <c r="E81" s="37"/>
      <c r="F81" s="37"/>
      <c r="G81" s="37"/>
      <c r="H81" s="37"/>
      <c r="I81" s="37"/>
      <c r="P81" s="213">
        <v>58001</v>
      </c>
      <c r="Q81" s="47">
        <v>59000</v>
      </c>
      <c r="R81" s="214">
        <v>11.93</v>
      </c>
    </row>
    <row r="82" spans="5:18">
      <c r="E82" s="37"/>
      <c r="F82" s="37"/>
      <c r="G82" s="37"/>
      <c r="H82" s="37"/>
      <c r="I82" s="37"/>
      <c r="P82" s="213">
        <v>59001</v>
      </c>
      <c r="Q82" s="47">
        <v>60000</v>
      </c>
      <c r="R82" s="214">
        <v>11.39</v>
      </c>
    </row>
    <row r="83" spans="5:18">
      <c r="E83" s="37"/>
      <c r="F83" s="54"/>
      <c r="G83" s="54"/>
      <c r="H83" s="54"/>
      <c r="I83" s="82"/>
      <c r="P83" s="213">
        <v>60001</v>
      </c>
      <c r="Q83" s="47">
        <v>61000</v>
      </c>
      <c r="R83" s="214">
        <v>10.86</v>
      </c>
    </row>
    <row r="84" spans="5:18">
      <c r="P84" s="213">
        <v>61000</v>
      </c>
      <c r="Q84" s="47">
        <v>62000</v>
      </c>
      <c r="R84" s="214">
        <v>10.37</v>
      </c>
    </row>
    <row r="85" spans="5:18">
      <c r="P85" s="213">
        <v>62001</v>
      </c>
      <c r="Q85" s="47">
        <v>63000</v>
      </c>
      <c r="R85" s="214">
        <v>9.89</v>
      </c>
    </row>
    <row r="86" spans="5:18">
      <c r="P86" s="213">
        <v>63001</v>
      </c>
      <c r="Q86" s="47">
        <v>64000</v>
      </c>
      <c r="R86" s="214">
        <v>9.44</v>
      </c>
    </row>
    <row r="87" spans="5:18">
      <c r="P87" s="213">
        <v>64001</v>
      </c>
      <c r="Q87" s="47">
        <v>65000</v>
      </c>
      <c r="R87" s="214">
        <v>9.01</v>
      </c>
    </row>
    <row r="88" spans="5:18">
      <c r="P88" s="213">
        <v>65001</v>
      </c>
      <c r="Q88" s="47">
        <v>66000</v>
      </c>
      <c r="R88" s="214">
        <v>8.59</v>
      </c>
    </row>
    <row r="89" spans="5:18">
      <c r="P89" s="213">
        <v>66001</v>
      </c>
      <c r="Q89" s="47">
        <v>67000</v>
      </c>
      <c r="R89" s="214">
        <v>8.1999999999999993</v>
      </c>
    </row>
    <row r="90" spans="5:18">
      <c r="P90" s="213">
        <v>67000</v>
      </c>
      <c r="Q90" s="47">
        <v>68000</v>
      </c>
      <c r="R90" s="214">
        <v>7.82</v>
      </c>
    </row>
    <row r="91" spans="5:18">
      <c r="P91" s="213">
        <v>68000</v>
      </c>
      <c r="Q91" s="47">
        <v>69000</v>
      </c>
      <c r="R91" s="214">
        <v>7.47</v>
      </c>
    </row>
    <row r="92" spans="5:18">
      <c r="P92" s="213">
        <v>69000</v>
      </c>
      <c r="Q92" s="47">
        <v>70000</v>
      </c>
      <c r="R92" s="214">
        <v>7.12</v>
      </c>
    </row>
    <row r="93" spans="5:18">
      <c r="P93" s="213">
        <v>70001</v>
      </c>
      <c r="Q93" s="47">
        <v>71000</v>
      </c>
      <c r="R93" s="214">
        <v>6.8</v>
      </c>
    </row>
    <row r="94" spans="5:18">
      <c r="P94" s="213">
        <v>71000</v>
      </c>
      <c r="Q94" s="47">
        <v>72000</v>
      </c>
      <c r="R94" s="214">
        <v>6.49</v>
      </c>
    </row>
    <row r="95" spans="5:18">
      <c r="P95" s="213">
        <v>72000</v>
      </c>
      <c r="Q95" s="47">
        <v>73000</v>
      </c>
      <c r="R95" s="214">
        <v>6.19</v>
      </c>
    </row>
    <row r="96" spans="5:18">
      <c r="P96" s="213">
        <v>73000</v>
      </c>
      <c r="Q96" s="47">
        <v>74000</v>
      </c>
      <c r="R96" s="214">
        <v>5.91</v>
      </c>
    </row>
    <row r="97" spans="16:18">
      <c r="P97" s="213">
        <v>74000</v>
      </c>
      <c r="Q97" s="47">
        <v>75000</v>
      </c>
      <c r="R97" s="214">
        <v>5.64</v>
      </c>
    </row>
    <row r="98" spans="16:18">
      <c r="P98" s="213">
        <v>75000</v>
      </c>
      <c r="Q98" s="47">
        <v>76000</v>
      </c>
      <c r="R98" s="214">
        <v>5.38</v>
      </c>
    </row>
    <row r="99" spans="16:18">
      <c r="P99" s="213">
        <v>76000</v>
      </c>
      <c r="Q99" s="47">
        <v>77000</v>
      </c>
      <c r="R99" s="214">
        <v>5.13</v>
      </c>
    </row>
    <row r="100" spans="16:18">
      <c r="P100" s="213">
        <v>77000</v>
      </c>
      <c r="Q100" s="47">
        <v>78000</v>
      </c>
      <c r="R100" s="214">
        <v>4.9000000000000004</v>
      </c>
    </row>
    <row r="101" spans="16:18">
      <c r="P101" s="213">
        <v>78001</v>
      </c>
      <c r="Q101" s="47">
        <v>79000</v>
      </c>
      <c r="R101" s="214">
        <v>4.67</v>
      </c>
    </row>
    <row r="102" spans="16:18">
      <c r="P102" s="213">
        <v>79001</v>
      </c>
      <c r="Q102" s="47">
        <v>80000</v>
      </c>
      <c r="R102" s="214">
        <v>4.46</v>
      </c>
    </row>
    <row r="103" spans="16:18" ht="16" thickBot="1">
      <c r="P103" s="215">
        <v>80000</v>
      </c>
      <c r="Q103" s="222">
        <v>81000</v>
      </c>
      <c r="R103" s="216">
        <v>4.25</v>
      </c>
    </row>
  </sheetData>
  <mergeCells count="24">
    <mergeCell ref="A1:B1"/>
    <mergeCell ref="A23:B23"/>
    <mergeCell ref="E59:F59"/>
    <mergeCell ref="E55:F55"/>
    <mergeCell ref="E56:F56"/>
    <mergeCell ref="E57:F57"/>
    <mergeCell ref="E53:H53"/>
    <mergeCell ref="A17:B17"/>
    <mergeCell ref="A3:B3"/>
    <mergeCell ref="C1:D1"/>
    <mergeCell ref="A31:B31"/>
    <mergeCell ref="A39:B39"/>
    <mergeCell ref="A47:B47"/>
    <mergeCell ref="A62:B62"/>
    <mergeCell ref="A57:B57"/>
    <mergeCell ref="E52:I52"/>
    <mergeCell ref="E60:H60"/>
    <mergeCell ref="E62:I62"/>
    <mergeCell ref="E67:I67"/>
    <mergeCell ref="E72:I72"/>
    <mergeCell ref="K50:N50"/>
    <mergeCell ref="P50:R50"/>
    <mergeCell ref="P51:Q51"/>
    <mergeCell ref="K51:L51"/>
  </mergeCell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2020 Living Wage Income</vt:lpstr>
      <vt:lpstr>Table II - Government Transfers</vt:lpstr>
      <vt:lpstr>Table IV - Taxes and Credits</vt:lpstr>
      <vt:lpstr>CPI</vt:lpstr>
      <vt:lpstr>MBM</vt:lpstr>
      <vt:lpstr>Family Expenses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Partridge</dc:creator>
  <cp:lastModifiedBy>Microsoft Office User</cp:lastModifiedBy>
  <cp:revision/>
  <dcterms:created xsi:type="dcterms:W3CDTF">2014-07-08T21:01:56Z</dcterms:created>
  <dcterms:modified xsi:type="dcterms:W3CDTF">2020-08-31T12:04:11Z</dcterms:modified>
</cp:coreProperties>
</file>