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autoCompressPictures="0"/>
  <mc:AlternateContent xmlns:mc="http://schemas.openxmlformats.org/markup-compatibility/2006">
    <mc:Choice Requires="x15">
      <x15ac:absPath xmlns:x15ac="http://schemas.microsoft.com/office/spreadsheetml/2010/11/ac" url="/Users/chelseafloyd/Desktop/HDC/Fall 2019/Living Wage/"/>
    </mc:Choice>
  </mc:AlternateContent>
  <xr:revisionPtr revIDLastSave="0" documentId="13_ncr:1_{E0DFD66D-BFA4-0447-8BDF-144B1FBE8F63}" xr6:coauthVersionLast="45" xr6:coauthVersionMax="45" xr10:uidLastSave="{00000000-0000-0000-0000-000000000000}"/>
  <bookViews>
    <workbookView xWindow="0" yWindow="460" windowWidth="38400" windowHeight="19760" activeTab="5" xr2:uid="{00000000-000D-0000-FFFF-FFFF00000000}"/>
  </bookViews>
  <sheets>
    <sheet name="2020 Living Wage Income" sheetId="15" r:id="rId1"/>
    <sheet name="Table II - Government Transfers" sheetId="16" r:id="rId2"/>
    <sheet name="Table IV - Taxes and Credits" sheetId="17" r:id="rId3"/>
    <sheet name="CPI" sheetId="9" r:id="rId4"/>
    <sheet name="MBM" sheetId="10" r:id="rId5"/>
    <sheet name="Family Expenses" sheetId="14"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4" i="14" l="1"/>
  <c r="B34" i="14"/>
  <c r="C53" i="17" l="1"/>
  <c r="B12" i="14" l="1"/>
  <c r="B11" i="14"/>
  <c r="B38" i="15"/>
  <c r="B32" i="14" l="1"/>
  <c r="I64" i="14" l="1"/>
  <c r="C65" i="17"/>
  <c r="C69" i="17" s="1"/>
  <c r="E35" i="10" l="1"/>
  <c r="F35" i="10" s="1"/>
  <c r="D35" i="10"/>
  <c r="D32" i="10"/>
  <c r="I35" i="10"/>
  <c r="I32" i="10"/>
  <c r="D12" i="17"/>
  <c r="D11" i="17"/>
  <c r="D7" i="17"/>
  <c r="H6" i="10"/>
  <c r="H12" i="10"/>
  <c r="H18" i="10"/>
  <c r="H24" i="10"/>
  <c r="H36" i="10"/>
  <c r="I15" i="10" l="1"/>
  <c r="B51" i="14" l="1"/>
  <c r="B42" i="14" l="1"/>
  <c r="B5" i="14" l="1"/>
  <c r="B8" i="14" l="1"/>
  <c r="B40" i="14"/>
  <c r="C75" i="17" l="1"/>
  <c r="C74" i="17"/>
  <c r="C76" i="17" s="1"/>
  <c r="B44" i="14"/>
  <c r="I59" i="14"/>
  <c r="I69" i="14"/>
  <c r="B36" i="17" l="1"/>
  <c r="B35" i="17"/>
  <c r="B34" i="17"/>
  <c r="B33" i="17"/>
  <c r="B49" i="14"/>
  <c r="B50" i="14"/>
  <c r="B58" i="14"/>
  <c r="B59" i="14" s="1"/>
  <c r="B33" i="14"/>
  <c r="I31" i="10"/>
  <c r="B24" i="14"/>
  <c r="B19" i="14"/>
  <c r="B20" i="14" s="1"/>
  <c r="B18" i="14"/>
  <c r="B48" i="14"/>
  <c r="E31" i="10"/>
  <c r="B27" i="14" l="1"/>
  <c r="B28" i="14" s="1"/>
  <c r="B26" i="14"/>
  <c r="B25" i="14"/>
  <c r="F32" i="10"/>
  <c r="F31" i="10"/>
  <c r="E32" i="10"/>
  <c r="F15" i="10"/>
  <c r="E15" i="10"/>
  <c r="H30" i="10"/>
  <c r="G20" i="15" l="1"/>
  <c r="I12" i="16" s="1"/>
  <c r="B9" i="14" l="1"/>
  <c r="B10" i="14" s="1"/>
  <c r="B13" i="14" s="1"/>
  <c r="B8" i="15" s="1"/>
  <c r="B14" i="14" l="1"/>
  <c r="C8" i="15" s="1"/>
  <c r="I61" i="16" l="1"/>
  <c r="D15" i="10"/>
  <c r="C8" i="17" l="1"/>
  <c r="B41" i="15" s="1"/>
  <c r="I60" i="16"/>
  <c r="C24" i="16"/>
  <c r="G24" i="15" l="1"/>
  <c r="B44" i="17"/>
  <c r="B43" i="17"/>
  <c r="B42" i="17"/>
  <c r="B41" i="17"/>
  <c r="J13" i="16" l="1"/>
  <c r="J14" i="16"/>
  <c r="I16" i="16"/>
  <c r="D31" i="10" l="1"/>
  <c r="C13" i="17"/>
  <c r="B42" i="15" s="1"/>
  <c r="B64" i="14"/>
  <c r="C11" i="15" s="1"/>
  <c r="C37" i="15"/>
  <c r="C12" i="15" s="1"/>
  <c r="G56" i="14"/>
  <c r="G57" i="14"/>
  <c r="C13" i="15"/>
  <c r="B13" i="15" s="1"/>
  <c r="C4" i="17"/>
  <c r="C29" i="16"/>
  <c r="C30" i="16"/>
  <c r="C7" i="15"/>
  <c r="B7" i="15" s="1"/>
  <c r="D36" i="15"/>
  <c r="B11" i="15" l="1"/>
  <c r="G25" i="15"/>
  <c r="I17" i="16" s="1"/>
  <c r="B36" i="14"/>
  <c r="B35" i="14" s="1"/>
  <c r="B43" i="14"/>
  <c r="C6" i="15"/>
  <c r="B6" i="15" s="1"/>
  <c r="B12" i="15"/>
  <c r="C38" i="15"/>
  <c r="D38" i="15" l="1"/>
  <c r="I20" i="15" s="1"/>
  <c r="K12" i="16" s="1"/>
  <c r="H20" i="15"/>
  <c r="J12" i="16" s="1"/>
  <c r="C9" i="15"/>
  <c r="B9" i="15" s="1"/>
  <c r="C15" i="15"/>
  <c r="B15" i="15" s="1"/>
  <c r="C14" i="15"/>
  <c r="D8" i="17"/>
  <c r="D13" i="17"/>
  <c r="D50" i="15" l="1"/>
  <c r="B14" i="15"/>
  <c r="C42" i="15"/>
  <c r="H25" i="15" s="1"/>
  <c r="J17" i="16" s="1"/>
  <c r="C41" i="15"/>
  <c r="H24" i="15" s="1"/>
  <c r="J16" i="16" s="1"/>
  <c r="D42" i="15" l="1"/>
  <c r="I25" i="15" s="1"/>
  <c r="K17" i="16" s="1"/>
  <c r="D41" i="15"/>
  <c r="I24" i="15" s="1"/>
  <c r="K16" i="16" s="1"/>
  <c r="C40" i="15" l="1"/>
  <c r="C43" i="15" l="1"/>
  <c r="H26" i="15" s="1"/>
  <c r="J18" i="16" s="1"/>
  <c r="H23" i="15"/>
  <c r="J15" i="16" s="1"/>
  <c r="B53" i="14" l="1"/>
  <c r="C10" i="15" l="1"/>
  <c r="B54" i="14"/>
  <c r="C16" i="15" l="1"/>
  <c r="D12" i="15" s="1"/>
  <c r="B39" i="15"/>
  <c r="B40" i="15" s="1"/>
  <c r="G21" i="15"/>
  <c r="I21" i="15" s="1"/>
  <c r="K13" i="16" s="1"/>
  <c r="B10" i="15"/>
  <c r="B16" i="15" s="1"/>
  <c r="D9" i="15" l="1"/>
  <c r="D10" i="15"/>
  <c r="D13" i="15"/>
  <c r="D8" i="15"/>
  <c r="D15" i="15"/>
  <c r="C31" i="15"/>
  <c r="I13" i="16"/>
  <c r="D7" i="15"/>
  <c r="D14" i="15"/>
  <c r="D6" i="15"/>
  <c r="D55" i="15"/>
  <c r="D11" i="15"/>
  <c r="G22" i="15"/>
  <c r="I14" i="16" s="1"/>
  <c r="C71" i="17"/>
  <c r="B44" i="15" s="1"/>
  <c r="C70" i="17"/>
  <c r="B43" i="15" s="1"/>
  <c r="D40" i="15"/>
  <c r="B45" i="15" s="1"/>
  <c r="G23" i="15"/>
  <c r="I15" i="16" s="1"/>
  <c r="I22" i="15" l="1"/>
  <c r="K14" i="16" s="1"/>
  <c r="D16" i="15"/>
  <c r="C72" i="17"/>
  <c r="C45" i="15"/>
  <c r="D45" i="15" s="1"/>
  <c r="G27" i="15"/>
  <c r="I19" i="16" s="1"/>
  <c r="D43" i="15"/>
  <c r="G26" i="15"/>
  <c r="I18" i="16" s="1"/>
  <c r="I23" i="15"/>
  <c r="K15" i="16" s="1"/>
  <c r="I86" i="16" s="1"/>
  <c r="C28" i="17"/>
  <c r="C44" i="15" l="1"/>
  <c r="D51" i="15" s="1"/>
  <c r="D52" i="15" s="1"/>
  <c r="I77" i="16"/>
  <c r="I76" i="16"/>
  <c r="D16" i="16" s="1"/>
  <c r="B46" i="15"/>
  <c r="B47" i="15" s="1"/>
  <c r="I27" i="16"/>
  <c r="D12" i="16" s="1"/>
  <c r="I59" i="16"/>
  <c r="D15" i="16" s="1"/>
  <c r="I35" i="16"/>
  <c r="D13" i="16" s="1"/>
  <c r="D17" i="16"/>
  <c r="I58" i="16"/>
  <c r="D14" i="16" s="1"/>
  <c r="I26" i="15"/>
  <c r="K18" i="16" s="1"/>
  <c r="H27" i="15" l="1"/>
  <c r="J19" i="16" s="1"/>
  <c r="D44" i="15"/>
  <c r="I27" i="15" s="1"/>
  <c r="K19" i="16" s="1"/>
  <c r="C46" i="15"/>
  <c r="D46" i="15" s="1"/>
  <c r="I28" i="15" s="1"/>
  <c r="K20" i="16" s="1"/>
  <c r="G28" i="15"/>
  <c r="I20" i="16" s="1"/>
  <c r="C21" i="15"/>
  <c r="C13" i="16"/>
  <c r="B21" i="15" s="1"/>
  <c r="C14" i="16"/>
  <c r="B22" i="15" s="1"/>
  <c r="C22" i="15"/>
  <c r="C15" i="16"/>
  <c r="B23" i="15" s="1"/>
  <c r="C23" i="15"/>
  <c r="C24" i="15"/>
  <c r="C16" i="16"/>
  <c r="B24" i="15" s="1"/>
  <c r="C25" i="15"/>
  <c r="C17" i="16"/>
  <c r="B25" i="15" s="1"/>
  <c r="C12" i="16"/>
  <c r="B20" i="15" s="1"/>
  <c r="C20" i="15"/>
  <c r="I53" i="14" l="1"/>
  <c r="H56" i="14" s="1"/>
  <c r="I56" i="14" s="1"/>
  <c r="C47" i="15"/>
  <c r="D47" i="15" s="1"/>
  <c r="H28" i="15"/>
  <c r="J20" i="16" s="1"/>
  <c r="B26" i="15"/>
  <c r="C26" i="15"/>
  <c r="D53" i="15" s="1"/>
  <c r="D54" i="15" s="1"/>
  <c r="D56" i="15" s="1"/>
  <c r="H57" i="14" l="1"/>
  <c r="I57" i="14" s="1"/>
  <c r="I60" i="14" s="1"/>
  <c r="C30" i="15"/>
  <c r="C3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Bourgeois</author>
  </authors>
  <commentList>
    <comment ref="K15" authorId="0" shapeId="0" xr:uid="{00000000-0006-0000-0100-000001000000}">
      <text>
        <r>
          <rPr>
            <b/>
            <sz val="9"/>
            <color rgb="FF000000"/>
            <rFont val="Tahoma"/>
            <family val="2"/>
          </rPr>
          <t>Bourgeois:</t>
        </r>
        <r>
          <rPr>
            <sz val="9"/>
            <color rgb="FF000000"/>
            <rFont val="Tahoma"/>
            <family val="2"/>
          </rPr>
          <t xml:space="preserve">
</t>
        </r>
        <r>
          <rPr>
            <sz val="9"/>
            <color rgb="FF000000"/>
            <rFont val="Tahoma"/>
            <family val="2"/>
          </rPr>
          <t>net income used in the CCB calculations</t>
        </r>
      </text>
    </comment>
    <comment ref="H22" authorId="0" shapeId="0" xr:uid="{00000000-0006-0000-0100-000002000000}">
      <text>
        <r>
          <rPr>
            <b/>
            <sz val="9"/>
            <color rgb="FF000000"/>
            <rFont val="Tahoma"/>
            <family val="2"/>
          </rPr>
          <t>Bourgeois:</t>
        </r>
        <r>
          <rPr>
            <sz val="9"/>
            <color rgb="FF000000"/>
            <rFont val="Tahoma"/>
            <family val="2"/>
          </rPr>
          <t xml:space="preserve">
</t>
        </r>
        <r>
          <rPr>
            <sz val="9"/>
            <color rgb="FF000000"/>
            <rFont val="Tahoma"/>
            <family val="2"/>
          </rPr>
          <t>based on http://www2.gnb.ca/content/gnb/en/departments/finance/taxes/child_tax_benefit.html</t>
        </r>
      </text>
    </comment>
    <comment ref="H29" authorId="0" shapeId="0" xr:uid="{00000000-0006-0000-0100-000003000000}">
      <text>
        <r>
          <rPr>
            <b/>
            <sz val="9"/>
            <color rgb="FF000000"/>
            <rFont val="Tahoma"/>
            <family val="2"/>
          </rPr>
          <t>Bourgeois:</t>
        </r>
        <r>
          <rPr>
            <sz val="9"/>
            <color rgb="FF000000"/>
            <rFont val="Tahoma"/>
            <family val="2"/>
          </rPr>
          <t xml:space="preserve">
</t>
        </r>
        <r>
          <rPr>
            <sz val="9"/>
            <color rgb="FF000000"/>
            <rFont val="Tahoma"/>
            <family val="2"/>
          </rPr>
          <t>based on http://www2.gnb.ca/content/gnb/en/departments/finance/taxes/child_tax_benefit.html</t>
        </r>
      </text>
    </comment>
    <comment ref="H31" authorId="0" shapeId="0" xr:uid="{00000000-0006-0000-0100-000004000000}">
      <text>
        <r>
          <rPr>
            <b/>
            <sz val="9"/>
            <color rgb="FF000000"/>
            <rFont val="Tahoma"/>
            <family val="2"/>
          </rPr>
          <t>Bourgeois:</t>
        </r>
        <r>
          <rPr>
            <sz val="9"/>
            <color rgb="FF000000"/>
            <rFont val="Tahoma"/>
            <family val="2"/>
          </rPr>
          <t xml:space="preserve">
</t>
        </r>
        <r>
          <rPr>
            <sz val="9"/>
            <color rgb="FF000000"/>
            <rFont val="Tahoma"/>
            <family val="2"/>
          </rPr>
          <t>employment income</t>
        </r>
      </text>
    </comment>
    <comment ref="H37" authorId="0" shapeId="0" xr:uid="{00000000-0006-0000-0100-000005000000}">
      <text>
        <r>
          <rPr>
            <b/>
            <sz val="9"/>
            <color rgb="FF000000"/>
            <rFont val="Tahoma"/>
            <family val="2"/>
          </rPr>
          <t>Bourgeois:</t>
        </r>
        <r>
          <rPr>
            <sz val="9"/>
            <color rgb="FF000000"/>
            <rFont val="Tahoma"/>
            <family val="2"/>
          </rPr>
          <t xml:space="preserve">
</t>
        </r>
        <r>
          <rPr>
            <sz val="9"/>
            <color rgb="FF000000"/>
            <rFont val="Tahoma"/>
            <family val="2"/>
          </rPr>
          <t xml:space="preserve">based on https://www.fin.gc.ca/n17/data/17-103_1-eng.asp
</t>
        </r>
        <r>
          <rPr>
            <sz val="9"/>
            <color rgb="FF000000"/>
            <rFont val="Tahoma"/>
            <family val="2"/>
          </rPr>
          <t xml:space="preserve">
</t>
        </r>
        <r>
          <rPr>
            <sz val="9"/>
            <color rgb="FF000000"/>
            <rFont val="Tahoma"/>
            <family val="2"/>
          </rPr>
          <t xml:space="preserve">note : the calculation is hard to do within one single formula, so I used the 2 and 7 year old kids - if this changes, then the calculation needs to be ammended
</t>
        </r>
      </text>
    </comment>
    <comment ref="H63" authorId="0" shapeId="0" xr:uid="{00000000-0006-0000-0100-000006000000}">
      <text>
        <r>
          <rPr>
            <b/>
            <sz val="9"/>
            <color rgb="FF000000"/>
            <rFont val="Tahoma"/>
            <family val="2"/>
          </rPr>
          <t>Bourgeois:</t>
        </r>
        <r>
          <rPr>
            <sz val="9"/>
            <color rgb="FF000000"/>
            <rFont val="Tahoma"/>
            <family val="2"/>
          </rPr>
          <t xml:space="preserve">
</t>
        </r>
        <r>
          <rPr>
            <sz val="9"/>
            <color rgb="FF000000"/>
            <rFont val="Tahoma"/>
            <family val="2"/>
          </rPr>
          <t>based on https://www.canada.ca/content/dam/cra-arc/formspubs/pub/rc4210/rc4210-17e.pdf</t>
        </r>
      </text>
    </comment>
    <comment ref="H79" authorId="0" shapeId="0" xr:uid="{00000000-0006-0000-0100-000007000000}">
      <text>
        <r>
          <rPr>
            <b/>
            <sz val="9"/>
            <color rgb="FF000000"/>
            <rFont val="Tahoma"/>
            <family val="2"/>
          </rPr>
          <t>Bourgeois:</t>
        </r>
        <r>
          <rPr>
            <sz val="9"/>
            <color rgb="FF000000"/>
            <rFont val="Tahoma"/>
            <family val="2"/>
          </rPr>
          <t xml:space="preserve">
</t>
        </r>
        <r>
          <rPr>
            <sz val="9"/>
            <color rgb="FF000000"/>
            <rFont val="Tahoma"/>
            <family val="2"/>
          </rPr>
          <t xml:space="preserve">source https://www.canada.ca/en/revenue-agency/services/child-family-benefits/provincial-territorial-programs/information-new-brunswick-harmonized-sales-tax-credit.html#Q5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Bourgeois</author>
    <author>Jean-Philippe Bourgeois</author>
  </authors>
  <commentList>
    <comment ref="C7" authorId="0" shapeId="0" xr:uid="{00000000-0006-0000-0200-000001000000}">
      <text>
        <r>
          <rPr>
            <b/>
            <sz val="9"/>
            <color rgb="FF000000"/>
            <rFont val="Tahoma"/>
            <family val="2"/>
          </rPr>
          <t>Bourgeois:</t>
        </r>
        <r>
          <rPr>
            <sz val="9"/>
            <color rgb="FF000000"/>
            <rFont val="Tahoma"/>
            <family val="2"/>
          </rPr>
          <t xml:space="preserve">
</t>
        </r>
        <r>
          <rPr>
            <sz val="9"/>
            <color rgb="FF000000"/>
            <rFont val="Tahoma"/>
            <family val="2"/>
          </rPr>
          <t xml:space="preserve">source https://www.canada.ca/en/revenue-agency/services/tax/businesses/topics/payroll/payroll-deductions-contributions/employment-insurance-ei/ei-premium-rates-maximums.html
</t>
        </r>
      </text>
    </comment>
    <comment ref="C65" authorId="1" shapeId="0" xr:uid="{ED5D91F9-2247-BC43-8A74-550836934130}">
      <text>
        <r>
          <rPr>
            <b/>
            <sz val="9"/>
            <color rgb="FF000000"/>
            <rFont val="Calibri"/>
            <family val="2"/>
          </rPr>
          <t>Jean-Philippe Bourgeois:</t>
        </r>
        <r>
          <rPr>
            <sz val="9"/>
            <color rgb="FF000000"/>
            <rFont val="Calibri"/>
            <family val="2"/>
          </rPr>
          <t xml:space="preserve">
</t>
        </r>
        <r>
          <rPr>
            <sz val="9"/>
            <color rgb="FF000000"/>
            <rFont val="Calibri"/>
            <family val="2"/>
          </rPr>
          <t xml:space="preserve">because of the way the calculation is performed, we can't link the cell, and must use 13000. for the firs time
</t>
        </r>
      </text>
    </comment>
    <comment ref="C69" authorId="0" shapeId="0" xr:uid="{FBFE8E0D-D8E7-CB40-AAB9-3D8B3AA213DC}">
      <text>
        <r>
          <rPr>
            <b/>
            <sz val="9"/>
            <color rgb="FF000000"/>
            <rFont val="Tahoma"/>
            <family val="2"/>
          </rPr>
          <t>Bourgeois:</t>
        </r>
        <r>
          <rPr>
            <sz val="9"/>
            <color rgb="FF000000"/>
            <rFont val="Tahoma"/>
            <family val="2"/>
          </rPr>
          <t xml:space="preserve">
</t>
        </r>
        <r>
          <rPr>
            <sz val="9"/>
            <color rgb="FF000000"/>
            <rFont val="Tahoma"/>
            <family val="2"/>
          </rPr>
          <t xml:space="preserve">in first time calc, this is not used, because of a loop formation
</t>
        </r>
      </text>
    </comment>
  </commentList>
</comments>
</file>

<file path=xl/sharedStrings.xml><?xml version="1.0" encoding="utf-8"?>
<sst xmlns="http://schemas.openxmlformats.org/spreadsheetml/2006/main" count="527" uniqueCount="338">
  <si>
    <t>Child Tax</t>
  </si>
  <si>
    <t>Item</t>
  </si>
  <si>
    <t>Monthly</t>
  </si>
  <si>
    <t>Annually</t>
  </si>
  <si>
    <t>One Child Under 6</t>
  </si>
  <si>
    <t>Food</t>
  </si>
  <si>
    <t>One Child Over 6</t>
  </si>
  <si>
    <t>Clothing and Footwear</t>
  </si>
  <si>
    <t>Shelter</t>
  </si>
  <si>
    <t>Transportation</t>
  </si>
  <si>
    <t>Child Care</t>
  </si>
  <si>
    <t>Health Care</t>
  </si>
  <si>
    <t>Contingency/Emergency</t>
  </si>
  <si>
    <t>Parent Education</t>
  </si>
  <si>
    <t>Household Expenses</t>
  </si>
  <si>
    <t>Social Inclusion</t>
  </si>
  <si>
    <t>Total</t>
  </si>
  <si>
    <t>Table II:  Non-Wage Income (Government Transfers)</t>
  </si>
  <si>
    <t>Income</t>
  </si>
  <si>
    <t>Table III:  Family Income Less Family Expenses</t>
  </si>
  <si>
    <t>Available Annual Income</t>
  </si>
  <si>
    <t>Annual Family Expenses</t>
  </si>
  <si>
    <t>Gap</t>
  </si>
  <si>
    <t>Table IV:  The Living Wage and Government Deductions and Taxes</t>
  </si>
  <si>
    <t>Column1</t>
  </si>
  <si>
    <t>Parent 1</t>
  </si>
  <si>
    <t>Parent 2</t>
  </si>
  <si>
    <t>Hours / Week</t>
  </si>
  <si>
    <t>Wage</t>
  </si>
  <si>
    <t>Net Income</t>
  </si>
  <si>
    <t>EI Premiums</t>
  </si>
  <si>
    <t>CPP Premiums</t>
  </si>
  <si>
    <t>Fed. Income Tax</t>
  </si>
  <si>
    <t>Prov. Income Tax</t>
  </si>
  <si>
    <t>Fed. Refundable Credits</t>
  </si>
  <si>
    <t>After Tax Income</t>
  </si>
  <si>
    <t>Monthly After Tax Inc.</t>
  </si>
  <si>
    <t>Table V:  Family Income less Gov't Deductions and Taxes plus Gov't Transfers</t>
  </si>
  <si>
    <t>Total Annual Income from Employment</t>
  </si>
  <si>
    <t xml:space="preserve">  - EI, CPP, Fed. and Prov. Taxes</t>
  </si>
  <si>
    <t>Equals Family Take Home Pay</t>
  </si>
  <si>
    <t>Equals Total Disposable Family Income</t>
  </si>
  <si>
    <t xml:space="preserve">  - Family Expenses</t>
  </si>
  <si>
    <t>Equals Income less expenses</t>
  </si>
  <si>
    <t>Survey or program details:</t>
  </si>
  <si>
    <t>Consumer Price Index - 2301</t>
  </si>
  <si>
    <t>Products and product groups (15)</t>
  </si>
  <si>
    <t>Component</t>
  </si>
  <si>
    <t>Food (17)</t>
  </si>
  <si>
    <t>Shelter (18)</t>
  </si>
  <si>
    <t>Clothing and footwear</t>
  </si>
  <si>
    <t>Gasoline</t>
  </si>
  <si>
    <t>Health and personal care</t>
  </si>
  <si>
    <t>Recreation, education and reading</t>
  </si>
  <si>
    <t>Alcoholic beverages and tobacco products</t>
  </si>
  <si>
    <t>All-items excluding food and energy (25)</t>
  </si>
  <si>
    <t>All-items excluding energy (25)</t>
  </si>
  <si>
    <t>Energy (25)</t>
  </si>
  <si>
    <t>Goods (27)</t>
  </si>
  <si>
    <t>Services (28)</t>
  </si>
  <si>
    <t>Footnotes:</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</si>
  <si>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</si>
  <si>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Food includes non-alcoholic beverages.</t>
  </si>
  <si>
    <t>Goods are physical or tangible commodities usually classified according to their life span into non-durable goods, semi-durable goods and durable goods. Non-durable goods are those goods that can be used up entirely in less than a year, assuming normal usage. For example, fresh food products, disposable cameras and gasoline are non-durable goods. Semi-durable goods are those goods that may last less than 12 months or greater than 12 months depending on the purpose to which they are put. For example, clothing, footwear and household textiles are semi-durable goods. Durable goods are those goods which may be used repeatedly or continuously over more than a year, assuming normal usage. For example, cars, audio and video equipment and furniture are durable goods.</t>
  </si>
  <si>
    <t>A service in the Consumer Price Index (CPI) is characterized by valuable work performed by an individual or organization on behalf of a consumer, for example, car tune-ups, haircuts and city public transportation. Transactions classified as a service may include the cost of goods by their nature. Examples include food in restaurant food services and materials in clothing repair services.</t>
  </si>
  <si>
    <t>Source:</t>
  </si>
  <si>
    <t>Statistics Canada. Table 326-0021 - Consumer Price Index (CPI), annual (2002=100 unless otherwise noted)</t>
  </si>
  <si>
    <t>Geography</t>
  </si>
  <si>
    <t>All-items</t>
  </si>
  <si>
    <t>Operation of passenger vehicles</t>
  </si>
  <si>
    <t>With the introduction of the 1992 basket in January 1995, emphasis was shifted from city data to provincial data. City all-items series were continued since many users had come to rely on this service, but the method of calculation was changed. Shelter indexes are calculated for each city. This recognizes the importance of shelter in the basket, the significant and persistent differences in price movements between cities, and the availability of local data. For the other seven major components, the movement of the provincial counterpart is used except in the cases of Montréal, Toronto, and Vancouver, where a sub-provincial counterpart is used. The major components are aggregated using the city's expenditure pattern to arrive at each city's all-items index.</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</si>
  <si>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and tobacco products".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CPI excluding food and energy", "energy", "goods", "services", or "fresh fruit and vegetables". They are listed after the components of the main structure of the CPI following the last major component entitled "alcoholic beverages and tobacco products".</t>
  </si>
  <si>
    <t>Survey of Labour and Income Dynamics - 3889</t>
  </si>
  <si>
    <t>Canadian Income Survey - 5200</t>
  </si>
  <si>
    <t>Total threshold</t>
  </si>
  <si>
    <t>Clothing</t>
  </si>
  <si>
    <t>Other expenses</t>
  </si>
  <si>
    <t>Source: Income Statistics Division, Statistics Canada</t>
  </si>
  <si>
    <t>The Market Basket Measure (MBM), developed by Employment and Social Development Canada, attempts to measure a standard of living that is a compromise between subsistence and social inclusion. It also reflects differences in living costs across regions. The MBM represents the cost of a basket that includes: a nutritious diet, clothing and footwear, shelter, transportation, and other necessary goods and services (such as personal care items or household supplies). The cost of the basket is compared to disposable income for each family to determine low income rates.</t>
  </si>
  <si>
    <t>Rural areas: includes communities with a population of less than 1,000 or with a population density less than 400 persons per square kilometer that are located outside Census metropolitan areas (CMAs) or Census agglomerations (CAs). Population under 30,000 : CAs below 30,000 and population centres below 10,000 persons. Population 30,000 to 99,999 : CAs between 30,000 and 99,999 persons. Population 100,000 to 499,999: CMAs between 100,000 and 499,999. Population 500,000 and over: CMAs with 500,000 or more persons. Specific city name refers to the population within the CMA or CA.</t>
  </si>
  <si>
    <t>Content Insurance</t>
  </si>
  <si>
    <t>Total Monthly</t>
  </si>
  <si>
    <t>Base Customer Charge</t>
  </si>
  <si>
    <t>Rate/KWh (1100)</t>
  </si>
  <si>
    <t>HST</t>
  </si>
  <si>
    <t>12monthly bus passes</t>
  </si>
  <si>
    <t>Total Annual</t>
  </si>
  <si>
    <t>Before/After School(7y/o)</t>
  </si>
  <si>
    <t>Summer &amp; March Break (7y/o)</t>
  </si>
  <si>
    <t>Child Care Subsidy*</t>
  </si>
  <si>
    <t>GST Credit</t>
  </si>
  <si>
    <t xml:space="preserve"> </t>
  </si>
  <si>
    <t>New Brunswick</t>
  </si>
  <si>
    <t>Geography 3</t>
  </si>
  <si>
    <t>New Brunswick, rural</t>
  </si>
  <si>
    <t>New Brunswick, population under 30,000</t>
  </si>
  <si>
    <t>New Brunswick, population 30,000 to 99,999</t>
  </si>
  <si>
    <t>Fredericton, New Brunswick</t>
  </si>
  <si>
    <t>Saint John, New Brunswick</t>
  </si>
  <si>
    <t>Moncton, New Brunswick</t>
  </si>
  <si>
    <t>(accessed: June 20, 2017)</t>
  </si>
  <si>
    <t>Statistics Canada. Table 206-0093 - Market Basket Measure (MBM) thresholds (2011 base) for reference family, by Market Basket Measure region and component, in current dollars and 2015 constant dollars, annual</t>
  </si>
  <si>
    <t>NBCTB</t>
  </si>
  <si>
    <t>NBWIS</t>
  </si>
  <si>
    <t>Income Range</t>
  </si>
  <si>
    <t>Child Care Subsidy</t>
  </si>
  <si>
    <t xml:space="preserve"># of days </t>
  </si>
  <si>
    <t xml:space="preserve">daily rate </t>
  </si>
  <si>
    <t>FT Child rate</t>
  </si>
  <si>
    <t>PT Child rate</t>
  </si>
  <si>
    <t>annual subsidy</t>
  </si>
  <si>
    <t>Total Annual Subsidy</t>
  </si>
  <si>
    <t>NBHSTC</t>
  </si>
  <si>
    <t>Food Costs</t>
  </si>
  <si>
    <t>toddler (full time 23days/month)</t>
  </si>
  <si>
    <t>Table I: Family Expenses--Two Adults and Two Children (age 2 and 7)</t>
  </si>
  <si>
    <t xml:space="preserve">  + Transfers </t>
  </si>
  <si>
    <t>Family Employment Income Adj.</t>
  </si>
  <si>
    <t>school-age (before+after school 42wks, 5days/wk)</t>
  </si>
  <si>
    <t>+</t>
  </si>
  <si>
    <t>Textbook allowance per course</t>
  </si>
  <si>
    <t>Monthly Internet service (cheapest available)</t>
  </si>
  <si>
    <t>Table 206-0093 Market Basket Measure (MBM) thresholds (2011 base) for reference family, by Market Basket Measure region and component, in current dollars and 2016 constant dollars, annual(1,2)</t>
  </si>
  <si>
    <t>Table 326-0021 Consumer Price Index (CPI), annual (2002=100)(2,9)</t>
  </si>
  <si>
    <t>Saint John, New Brunswick [13310]  (11)</t>
  </si>
  <si>
    <t>This table replaces CANSIM table 326-0002 which was archived with the release of April 2007 data.</t>
  </si>
  <si>
    <t>Part of the increase first recorded in the shelter index for Yellowknife for December 2004 inadvertently reflected rent increases that actually occurred earlier. As a result, the change in the shelter index was overstated in December 2004, and was understated in the previous two years. The shelter index series for Yellowknife has been corrected from December 2002. In addition, the Yellowknife All-items consumer price index (CPI) and some Yellowknife special aggregate index series have also changed. Data for Canada and all other provinces and territories were not affected.</t>
  </si>
  <si>
    <t>The special aggregate "energy" includes: "electricity", "natural gas", "fuel oil and other fuels", "gasoline", and "fuel, parts and accessories for recreational vehicles".</t>
  </si>
  <si>
    <t>CPI adjusted</t>
  </si>
  <si>
    <t>Rented accommodation</t>
  </si>
  <si>
    <t>Rent (32)</t>
  </si>
  <si>
    <t>Revision of the methodology of the Rent component of the Consumer Price Index (CPI) beginning with the July 2009 CPI - http://www23.statcan.gc.ca/imdb-bmdi/document/2301_D41_T9_V1-eng.pdf.</t>
  </si>
  <si>
    <t>Toddler Full Time Centre-Based (2y/o)</t>
  </si>
  <si>
    <t>school-age (full day 7 weeks/year @ 5days/wk)</t>
  </si>
  <si>
    <t xml:space="preserve">Annual Cost, Adjusted using CPI </t>
  </si>
  <si>
    <t>Non-Public Health Care</t>
  </si>
  <si>
    <t>Basic Health Insurance-quoted monthly</t>
  </si>
  <si>
    <t>Total Annual Health Insurance</t>
  </si>
  <si>
    <t>Other Expenses</t>
  </si>
  <si>
    <t>% of Total Annually</t>
  </si>
  <si>
    <t>CCB (Jan-June)</t>
  </si>
  <si>
    <t>CCB (July-December)</t>
  </si>
  <si>
    <t>Average Student Fees per year</t>
  </si>
  <si>
    <t>Month</t>
  </si>
  <si>
    <t>Annual</t>
  </si>
  <si>
    <t>Notes</t>
  </si>
  <si>
    <t>CCB (jan-Jun)</t>
  </si>
  <si>
    <t>CCB (jul -dec)</t>
  </si>
  <si>
    <t>GST credit</t>
  </si>
  <si>
    <t>General Information</t>
  </si>
  <si>
    <t>number of kids under 18</t>
  </si>
  <si>
    <t>age of kid 1</t>
  </si>
  <si>
    <t>age of kid 2</t>
  </si>
  <si>
    <t xml:space="preserve">cells in </t>
  </si>
  <si>
    <t>need to be possibly updated</t>
  </si>
  <si>
    <t>don’t touch, unless the formula has changed</t>
  </si>
  <si>
    <t>don't touch, they are simply linked</t>
  </si>
  <si>
    <t>NBCTB calculation</t>
  </si>
  <si>
    <t>annual payment for each child</t>
  </si>
  <si>
    <t>1 child rate</t>
  </si>
  <si>
    <t>2 child rate</t>
  </si>
  <si>
    <t>NBCTB annual payment</t>
  </si>
  <si>
    <t>Employment income</t>
    <phoneticPr fontId="1" type="noConversion"/>
  </si>
  <si>
    <t>Childcare expenses claimed</t>
    <phoneticPr fontId="1" type="noConversion"/>
  </si>
  <si>
    <t>Adjustments</t>
    <phoneticPr fontId="1" type="noConversion"/>
  </si>
  <si>
    <t>Net Income</t>
    <phoneticPr fontId="1" type="noConversion"/>
  </si>
  <si>
    <t>EI Premiums</t>
    <phoneticPr fontId="1" type="noConversion"/>
  </si>
  <si>
    <t>CPP Premiums</t>
    <phoneticPr fontId="1" type="noConversion"/>
  </si>
  <si>
    <t>Fed. Income Tax</t>
    <phoneticPr fontId="1" type="noConversion"/>
  </si>
  <si>
    <t>Prov. Income Tax</t>
    <phoneticPr fontId="1" type="noConversion"/>
  </si>
  <si>
    <t>After Tax Income</t>
    <phoneticPr fontId="1" type="noConversion"/>
  </si>
  <si>
    <t>this years income</t>
  </si>
  <si>
    <t>NCWIS calculation</t>
  </si>
  <si>
    <t>annual payment per family</t>
  </si>
  <si>
    <t>rate on earned income</t>
  </si>
  <si>
    <t>rate on net income</t>
  </si>
  <si>
    <t>NCWIS annual payment</t>
  </si>
  <si>
    <t xml:space="preserve">* this is simply used to link to table 4, as it calculates the first time. </t>
  </si>
  <si>
    <t>max child under 6</t>
  </si>
  <si>
    <t>max child 6 to 17</t>
  </si>
  <si>
    <r>
      <t xml:space="preserve">reduction rates </t>
    </r>
    <r>
      <rPr>
        <b/>
        <u/>
        <sz val="12"/>
        <color theme="1"/>
        <rFont val="Calibri"/>
        <family val="2"/>
        <scheme val="minor"/>
      </rPr>
      <t>between</t>
    </r>
    <r>
      <rPr>
        <u/>
        <sz val="11"/>
        <color theme="1"/>
        <rFont val="Calibri"/>
        <family val="2"/>
        <scheme val="minor"/>
      </rPr>
      <t xml:space="preserve"> AFNI</t>
    </r>
  </si>
  <si>
    <t>1 child family</t>
  </si>
  <si>
    <t>2 chidren family</t>
  </si>
  <si>
    <t>3 children family</t>
  </si>
  <si>
    <t>4+ children family</t>
  </si>
  <si>
    <r>
      <t xml:space="preserve">plus rates  AFNI </t>
    </r>
    <r>
      <rPr>
        <b/>
        <u/>
        <sz val="12"/>
        <color theme="1"/>
        <rFont val="Calibri"/>
        <family val="2"/>
        <scheme val="minor"/>
      </rPr>
      <t>over</t>
    </r>
  </si>
  <si>
    <r>
      <t xml:space="preserve">CCB </t>
    </r>
    <r>
      <rPr>
        <b/>
        <sz val="12"/>
        <color theme="1"/>
        <rFont val="Calibri"/>
        <family val="2"/>
        <scheme val="minor"/>
      </rPr>
      <t>6 months</t>
    </r>
    <r>
      <rPr>
        <sz val="11"/>
        <color theme="1"/>
        <rFont val="Calibri"/>
        <family val="2"/>
        <scheme val="minor"/>
      </rPr>
      <t xml:space="preserve"> (Jan-June)</t>
    </r>
  </si>
  <si>
    <r>
      <t xml:space="preserve">CCB </t>
    </r>
    <r>
      <rPr>
        <b/>
        <sz val="12"/>
        <color theme="1"/>
        <rFont val="Calibri"/>
        <family val="2"/>
        <scheme val="minor"/>
      </rPr>
      <t>6 months</t>
    </r>
    <r>
      <rPr>
        <sz val="11"/>
        <color theme="1"/>
        <rFont val="Calibri"/>
        <family val="2"/>
        <scheme val="minor"/>
      </rPr>
      <t xml:space="preserve"> (July-Dec)</t>
    </r>
  </si>
  <si>
    <t>no CCB at FNI (Jan-June)</t>
  </si>
  <si>
    <t>no CCB at FNI (July-Dec)</t>
  </si>
  <si>
    <t>basic credit</t>
  </si>
  <si>
    <t>credit for kids</t>
  </si>
  <si>
    <t>rate of net income difference</t>
  </si>
  <si>
    <t>single, no children : payment</t>
  </si>
  <si>
    <t>single, with custody: payment +</t>
  </si>
  <si>
    <t>child &lt;19 age amount</t>
  </si>
  <si>
    <t>reduction rate</t>
  </si>
  <si>
    <t>NBHSTC annual payment</t>
  </si>
  <si>
    <t>it is just like the bc calculations</t>
  </si>
  <si>
    <t>again this felt more organic to simply create a few more tables which could easily be update on there own and then update table 4 on the main sheet automatically.</t>
  </si>
  <si>
    <t>values in bold are used</t>
  </si>
  <si>
    <t xml:space="preserve">Employment Insurance rate </t>
  </si>
  <si>
    <t>Canadian Pension Plan</t>
  </si>
  <si>
    <t>CPP rate</t>
  </si>
  <si>
    <t>basic exemption</t>
  </si>
  <si>
    <t>Income tax credits</t>
  </si>
  <si>
    <t>Provincial</t>
  </si>
  <si>
    <t>Federal</t>
  </si>
  <si>
    <t>basic personal ammount</t>
  </si>
  <si>
    <t>spouce equivalence amount</t>
  </si>
  <si>
    <t>age amount</t>
  </si>
  <si>
    <t>disability amount</t>
  </si>
  <si>
    <t>medical expense rate</t>
  </si>
  <si>
    <t>non-refundable tax credit rate</t>
  </si>
  <si>
    <t>canada employment amount</t>
  </si>
  <si>
    <t>treshold amount</t>
  </si>
  <si>
    <t>phase out rate</t>
  </si>
  <si>
    <t>max reduction</t>
  </si>
  <si>
    <t>Provincial income tax rates</t>
  </si>
  <si>
    <t>min range</t>
  </si>
  <si>
    <t>max range</t>
  </si>
  <si>
    <t>rate</t>
  </si>
  <si>
    <t>*income specific, if the income goes above this, it will be wrong</t>
  </si>
  <si>
    <t>Federal income tax rates</t>
  </si>
  <si>
    <t>base amount</t>
  </si>
  <si>
    <t>WITB rate</t>
  </si>
  <si>
    <t>maximum benefit</t>
  </si>
  <si>
    <t>income to zero</t>
  </si>
  <si>
    <t>rate for WITB reduction</t>
  </si>
  <si>
    <t>WITB</t>
  </si>
  <si>
    <t>CCP premiums</t>
  </si>
  <si>
    <t>EI premiums</t>
  </si>
  <si>
    <t xml:space="preserve">Employment Insurance </t>
  </si>
  <si>
    <t>Division of Income, Expenses, Tax Credits</t>
    <phoneticPr fontId="0" type="noConversion"/>
  </si>
  <si>
    <t>amount children under 6</t>
  </si>
  <si>
    <t>amount children over 6 and under 18</t>
  </si>
  <si>
    <t>low income tax deduction</t>
  </si>
  <si>
    <t>parent 2</t>
  </si>
  <si>
    <t>Total Monthly for Power</t>
  </si>
  <si>
    <t>Employment income</t>
  </si>
  <si>
    <t>Childcare expenses claimed</t>
  </si>
  <si>
    <t>Adjustments</t>
  </si>
  <si>
    <t>Day Care Assistance Rates</t>
  </si>
  <si>
    <t>Designated Centre</t>
  </si>
  <si>
    <t>childcare credit</t>
  </si>
  <si>
    <t>Centre</t>
  </si>
  <si>
    <t># of days</t>
  </si>
  <si>
    <t>daily rate</t>
  </si>
  <si>
    <t>Designated Centre - Day Care Rates - Toddler</t>
  </si>
  <si>
    <t>Daycare assistance rates - 7year old</t>
  </si>
  <si>
    <t>Summer camp/full time care - 7 year old</t>
  </si>
  <si>
    <t>Additional $14 on PD/strom days</t>
  </si>
  <si>
    <t>CCPA RATE</t>
  </si>
  <si>
    <t>2019: accessed February 20, 2020</t>
  </si>
  <si>
    <t>This table replaces table 18-10-0009-01 which was archived with the release of April 2007 data.</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</si>
  <si>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tobacco products and recreational cannabis".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excluding food and energy", "energy", "goods", "services", or "fresh fruit and vegetables". They are listed after the components of the main structure of the CPI following the last major component entitled "alcoholic beverages, tobacco products and recreational cannabis".</t>
  </si>
  <si>
    <t>Revision of the methodology of the rent component (http://www23.statcan.gc.ca/imdb-bmdi/document/2301_D41_T9_V1-eng.pdf) of the Consumer Price Index (CPI), beginning with the July 2009 CPI.  New approach for estimating the rent component (https://www150.statcan.gc.ca/n1/pub/62f0014m/62f0014m2019002-eng.htm) of the Consumer Price Index, beginning with the January 2019 CPI.</t>
  </si>
  <si>
    <t>2018-base MBM (from Feb 2020 report)</t>
  </si>
  <si>
    <t>NOTES:</t>
  </si>
  <si>
    <t>Chelsea's NOTES:</t>
  </si>
  <si>
    <t xml:space="preserve"> Family Expenses 2019</t>
  </si>
  <si>
    <t>Saint John Energy Rates effective July 18, 2019</t>
  </si>
  <si>
    <t>MBM 2018-Base, Clothing, Saint John</t>
  </si>
  <si>
    <t>MBM 2018-base, adj inflation, Saint John, annual</t>
  </si>
  <si>
    <t>Saint John Transit, October 2019</t>
  </si>
  <si>
    <t>Power, SJ Energy, effective July 18, 2019</t>
  </si>
  <si>
    <t>This stayed the same</t>
  </si>
  <si>
    <t>https://www.canada.ca/en/revenue-agency/services/child-family-benefits/provincial-territorial-programs/province-new-brunswick.html#Q2</t>
  </si>
  <si>
    <t>https://www2.gnb.ca/content/gnb/en/departments/finance/taxes/child_tax_benefit.html</t>
  </si>
  <si>
    <t>Child benefit Calculation (CCB)</t>
  </si>
  <si>
    <t>https://www.canada.ca/en/revenue-agency/services/child-family-benefits/canada-child-benefit-overview/canada-child-benefit-ccb-calculation-sheet-july-2019-june-2020-payments-2018-tax-year.html</t>
  </si>
  <si>
    <t>Living Wage Calculation: Saint John 2020 (based on 2019 data)</t>
  </si>
  <si>
    <t>CCPA RATE - Preschool median toddler fees 2019</t>
  </si>
  <si>
    <t>credit for spouse</t>
  </si>
  <si>
    <t>Calculation sheet for the July 2019 to June 2020 payments (2018 tax year)</t>
  </si>
  <si>
    <t>https://www.canada.ca/en/revenue-agency/services/child-family-benefits/goods-services-tax-harmonized-sales-tax-gst-hst-credit/goods-services-tax-harmonized-sales-tax-credit-calculation-sheet-july-2019-june-2020-payments-2018-tax-year.html</t>
  </si>
  <si>
    <t>Median Rent, 3 bedroom - CMHC (SJ South)</t>
  </si>
  <si>
    <t>PD, Dec Break, Nonstat Holidays</t>
  </si>
  <si>
    <t>Table IIa:  Calculation for For Government Tax and Transfers</t>
  </si>
  <si>
    <t>*linked, don't touch</t>
  </si>
  <si>
    <t>January-June 2019</t>
  </si>
  <si>
    <t xml:space="preserve">July-December 2019 </t>
  </si>
  <si>
    <t>January to June 2019</t>
  </si>
  <si>
    <t>July to December 2019</t>
  </si>
  <si>
    <t>January-June credit</t>
  </si>
  <si>
    <t>July-December credit</t>
  </si>
  <si>
    <t>July 2019 - June 2020 Calculation Sheet (2018 tax year)</t>
  </si>
  <si>
    <t>July 2018 - June 2019 Calculation Sheet (2017 tax year)</t>
  </si>
  <si>
    <t>https://www.canada.ca/en/revenue-agency/services/child-family-benefits/canada-child-benefit-overview/canada-child-benefit-ccb-calculation-sheet-july-2018-june-2019-payments-2017-tax-year.html</t>
  </si>
  <si>
    <t>Total Annually</t>
  </si>
  <si>
    <t xml:space="preserve">Cost of Private Vehicle, MBM 2018-base for rural NB, inflation adjusted </t>
  </si>
  <si>
    <t>Taxis back from college (limited evening transit)</t>
  </si>
  <si>
    <t>*based off CCPA report - $32.09/day</t>
  </si>
  <si>
    <t>-</t>
  </si>
  <si>
    <t>Low income tax reduction</t>
  </si>
  <si>
    <t>Federal working income credit</t>
  </si>
  <si>
    <t>Childcare tax credit calculation</t>
  </si>
  <si>
    <t>Notes:</t>
  </si>
  <si>
    <t>Source: https://www.canada.ca/en/revenue-agency/services/child-family-benefits/canada-workers-benefit/calculation-families-canada.html</t>
  </si>
  <si>
    <t>Parent 2 claimed</t>
  </si>
  <si>
    <t>Table IIa:  Last Year's Family Income (For Government Transfers )</t>
  </si>
  <si>
    <t>Using this years income</t>
  </si>
  <si>
    <t>from Table 4</t>
  </si>
  <si>
    <t>Medical Expenses Tax Credit -  Provincial</t>
  </si>
  <si>
    <t>Medical Expenses Tax Credit - Federal</t>
  </si>
  <si>
    <t>Childcare Expenses Tax Credit</t>
  </si>
  <si>
    <t>Federal Tuition Tax Credit</t>
  </si>
  <si>
    <t>Provincial Tuition Tax Credit</t>
  </si>
  <si>
    <t>Adjustments (Child Care Expenses)</t>
  </si>
  <si>
    <t>Household Expenses (60% of 'other")</t>
  </si>
  <si>
    <t>Social Inclusion (40% of 'other')</t>
  </si>
  <si>
    <t>Shelter Costs (Rent, Power and Internet)</t>
  </si>
  <si>
    <t>Gross Employment Income</t>
  </si>
  <si>
    <t>Installation Fee</t>
  </si>
  <si>
    <t>base threshold</t>
  </si>
  <si>
    <t>spouse, no children : payment</t>
  </si>
  <si>
    <t>In this sheet you can find all the programs values, thresholds and rates used in the calculation of the programs.</t>
  </si>
  <si>
    <t>For some programs a division was made explicitely to differentiated between the calculation of the first 6 months and the last 6 months.</t>
  </si>
  <si>
    <t xml:space="preserve">The formulas used to make the calculations are fixed, in the sense that if the calculation process changes, the formula will need to be changed. </t>
  </si>
  <si>
    <t>If you received an error, you did something wrong. Either you entered a bad rate, or the error will specify to what the problem is.</t>
  </si>
  <si>
    <t>threshold</t>
  </si>
  <si>
    <t>earned income threshold</t>
  </si>
  <si>
    <t>net income threshold</t>
  </si>
  <si>
    <t>1st threshold</t>
  </si>
  <si>
    <t>2nd threshold</t>
  </si>
  <si>
    <t>family net income threshold</t>
  </si>
  <si>
    <t>Source (2018-base MBM):</t>
  </si>
  <si>
    <t>Djidel, S., Gustajtis, B., Heisz, A., Lam, K., Marchand, I. and McDermott, S. (2020). Report on the second comprehensive review of the Market Basket Measure. (Ottawa: Statistics Canada). https://www150.statcan.gc.ca/n1/pub/75f0002m/75f0002m2020002-eng.pdf</t>
  </si>
  <si>
    <t>Source (2008-base MBM):</t>
  </si>
  <si>
    <t xml:space="preserve">Notes </t>
  </si>
  <si>
    <t>Independent Survey, October 2019</t>
  </si>
  <si>
    <t>Independent Survey, June 2020</t>
  </si>
  <si>
    <t>MBM 2018-Base, Other, Saint John, Adjust with CPI: All-items</t>
  </si>
  <si>
    <t xml:space="preserve">Rate from NBCC website, October 2019 </t>
  </si>
  <si>
    <t>Part-time fees: Student union=$5/course credit, tech fee=$15 per course credit</t>
  </si>
  <si>
    <t>Median rate - Independent Survey, October 2019</t>
  </si>
  <si>
    <t>Median rate - Independent survey, October 2019</t>
  </si>
  <si>
    <t>Tuition per credit (1 course 2 credit per semester, fall and 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</si>
</sst>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quot;$&quot;#,##0;[Red]\-&quot;$&quot;#,##0"/>
    <numFmt numFmtId="165" formatCode="&quot;$&quot;#,##0.00;[Red]\-&quot;$&quot;#,##0.00"/>
    <numFmt numFmtId="166" formatCode="_-&quot;$&quot;* #,##0.00_-;\-&quot;$&quot;* #,##0.00_-;_-&quot;$&quot;* &quot;-&quot;??_-;_-@_-"/>
    <numFmt numFmtId="167" formatCode="&quot;$&quot;#,##0.00"/>
    <numFmt numFmtId="168" formatCode="0.000"/>
    <numFmt numFmtId="169" formatCode="0.00000"/>
    <numFmt numFmtId="170" formatCode="&quot;$&quot;#,##0"/>
    <numFmt numFmtId="171" formatCode="0.0000"/>
  </numFmts>
  <fonts count="45">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10"/>
      <name val="Verdana"/>
      <family val="2"/>
    </font>
    <font>
      <sz val="11"/>
      <name val="Calibri"/>
      <family val="2"/>
    </font>
    <font>
      <sz val="11"/>
      <color rgb="FF006100"/>
      <name val="Calibri"/>
      <family val="2"/>
      <scheme val="minor"/>
    </font>
    <font>
      <b/>
      <sz val="15"/>
      <color theme="3"/>
      <name val="Calibri"/>
      <family val="2"/>
      <scheme val="minor"/>
    </font>
    <font>
      <b/>
      <sz val="13"/>
      <color theme="3"/>
      <name val="Calibri"/>
      <family val="2"/>
      <scheme val="minor"/>
    </font>
    <font>
      <sz val="11"/>
      <color rgb="FFFF0000"/>
      <name val="Calibri"/>
      <family val="2"/>
      <scheme val="minor"/>
    </font>
    <font>
      <sz val="1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6"/>
      <color indexed="54"/>
      <name val="Calibri"/>
      <family val="2"/>
    </font>
    <font>
      <sz val="8"/>
      <name val="Arial"/>
      <family val="2"/>
    </font>
    <font>
      <sz val="11"/>
      <color rgb="FF9C0006"/>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3"/>
      <color theme="1"/>
      <name val="Calibri"/>
      <family val="2"/>
      <scheme val="minor"/>
    </font>
    <font>
      <b/>
      <sz val="14"/>
      <color theme="1"/>
      <name val="Calibri"/>
      <family val="2"/>
      <scheme val="minor"/>
    </font>
    <font>
      <b/>
      <sz val="11"/>
      <color rgb="FF3F3F76"/>
      <name val="Calibri"/>
      <family val="2"/>
      <scheme val="minor"/>
    </font>
    <font>
      <b/>
      <sz val="10"/>
      <name val="Verdana"/>
      <family val="2"/>
    </font>
    <font>
      <u/>
      <sz val="10"/>
      <name val="Verdana"/>
      <family val="2"/>
    </font>
    <font>
      <u/>
      <sz val="11"/>
      <color theme="1"/>
      <name val="Calibri"/>
      <family val="2"/>
      <scheme val="minor"/>
    </font>
    <font>
      <b/>
      <u/>
      <sz val="12"/>
      <color theme="1"/>
      <name val="Calibri"/>
      <family val="2"/>
      <scheme val="minor"/>
    </font>
    <font>
      <b/>
      <sz val="12"/>
      <color theme="1"/>
      <name val="Calibri"/>
      <family val="2"/>
      <scheme val="minor"/>
    </font>
    <font>
      <b/>
      <sz val="14"/>
      <color rgb="FF3F3F76"/>
      <name val="Calibri"/>
      <family val="2"/>
      <scheme val="minor"/>
    </font>
    <font>
      <b/>
      <sz val="11"/>
      <name val="Calibri"/>
      <family val="2"/>
      <scheme val="minor"/>
    </font>
    <font>
      <b/>
      <sz val="9"/>
      <color rgb="FF000000"/>
      <name val="Tahoma"/>
      <family val="2"/>
    </font>
    <font>
      <sz val="9"/>
      <color rgb="FF000000"/>
      <name val="Tahoma"/>
      <family val="2"/>
    </font>
    <font>
      <b/>
      <sz val="9"/>
      <color rgb="FF000000"/>
      <name val="Calibri"/>
      <family val="2"/>
    </font>
    <font>
      <sz val="9"/>
      <color rgb="FF000000"/>
      <name val="Calibri"/>
      <family val="2"/>
    </font>
    <font>
      <b/>
      <u/>
      <sz val="11"/>
      <color theme="1"/>
      <name val="Calibri"/>
      <family val="2"/>
      <scheme val="minor"/>
    </font>
    <font>
      <sz val="11"/>
      <color theme="1"/>
      <name val="Calibri"/>
      <family val="2"/>
      <scheme val="minor"/>
    </font>
    <font>
      <sz val="11"/>
      <color rgb="FFFF0000"/>
      <name val="Calibri (Body)"/>
    </font>
    <font>
      <sz val="10"/>
      <color theme="1"/>
      <name val="Arial"/>
      <family val="2"/>
    </font>
    <font>
      <b/>
      <sz val="10"/>
      <color theme="1"/>
      <name val="Arial"/>
      <family val="2"/>
    </font>
    <font>
      <b/>
      <sz val="16"/>
      <name val="Arial"/>
      <family val="2"/>
    </font>
    <font>
      <u/>
      <sz val="11"/>
      <color theme="1"/>
      <name val="Calibri (Body)"/>
    </font>
    <font>
      <b/>
      <u/>
      <sz val="11"/>
      <color theme="1"/>
      <name val="Calibri (Body)"/>
    </font>
    <font>
      <sz val="10"/>
      <color theme="1"/>
      <name val="Verdana"/>
      <family val="2"/>
    </font>
    <font>
      <b/>
      <sz val="12"/>
      <color theme="1"/>
      <name val="Arial"/>
      <family val="2"/>
    </font>
  </fonts>
  <fills count="10">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D6F7EC"/>
        <bgColor indexed="64"/>
      </patternFill>
    </fill>
    <fill>
      <patternFill patternType="solid">
        <fgColor theme="7" tint="0.59999389629810485"/>
        <bgColor indexed="64"/>
      </patternFill>
    </fill>
    <fill>
      <patternFill patternType="solid">
        <fgColor theme="2"/>
        <bgColor indexed="64"/>
      </patternFill>
    </fill>
  </fills>
  <borders count="9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style="thin">
        <color auto="1"/>
      </left>
      <right/>
      <top/>
      <bottom/>
      <diagonal/>
    </border>
    <border>
      <left/>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diagonal/>
    </border>
    <border>
      <left style="medium">
        <color auto="1"/>
      </left>
      <right/>
      <top style="thin">
        <color auto="1"/>
      </top>
      <bottom style="medium">
        <color auto="1"/>
      </bottom>
      <diagonal/>
    </border>
    <border>
      <left style="thin">
        <color rgb="FF7F7F7F"/>
      </left>
      <right style="medium">
        <color auto="1"/>
      </right>
      <top style="thin">
        <color auto="1"/>
      </top>
      <bottom style="medium">
        <color auto="1"/>
      </bottom>
      <diagonal/>
    </border>
    <border>
      <left style="medium">
        <color auto="1"/>
      </left>
      <right/>
      <top style="thin">
        <color auto="1"/>
      </top>
      <bottom/>
      <diagonal/>
    </border>
    <border>
      <left style="thin">
        <color rgb="FF7F7F7F"/>
      </left>
      <right style="medium">
        <color auto="1"/>
      </right>
      <top style="thin">
        <color auto="1"/>
      </top>
      <bottom style="thin">
        <color rgb="FF7F7F7F"/>
      </bottom>
      <diagonal/>
    </border>
    <border>
      <left style="thin">
        <color rgb="FF7F7F7F"/>
      </left>
      <right style="medium">
        <color auto="1"/>
      </right>
      <top style="thin">
        <color rgb="FF7F7F7F"/>
      </top>
      <bottom style="medium">
        <color auto="1"/>
      </bottom>
      <diagonal/>
    </border>
    <border>
      <left style="thin">
        <color rgb="FF7F7F7F"/>
      </left>
      <right style="thin">
        <color rgb="FF7F7F7F"/>
      </right>
      <top style="thin">
        <color rgb="FF7F7F7F"/>
      </top>
      <bottom style="medium">
        <color auto="1"/>
      </bottom>
      <diagonal/>
    </border>
    <border>
      <left style="medium">
        <color indexed="64"/>
      </left>
      <right/>
      <top style="medium">
        <color indexed="64"/>
      </top>
      <bottom style="thin">
        <color auto="1"/>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medium">
        <color indexed="64"/>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style="medium">
        <color indexed="64"/>
      </top>
      <bottom style="thin">
        <color auto="1"/>
      </bottom>
      <diagonal/>
    </border>
    <border>
      <left/>
      <right style="medium">
        <color indexed="64"/>
      </right>
      <top/>
      <bottom style="double">
        <color rgb="FFFF8001"/>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top/>
      <bottom style="thin">
        <color theme="1"/>
      </bottom>
      <diagonal/>
    </border>
    <border>
      <left/>
      <right/>
      <top style="thin">
        <color theme="1"/>
      </top>
      <bottom/>
      <diagonal/>
    </border>
    <border>
      <left style="thin">
        <color auto="1"/>
      </left>
      <right style="medium">
        <color theme="1"/>
      </right>
      <top style="medium">
        <color theme="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medium">
        <color theme="1"/>
      </left>
      <right/>
      <top style="medium">
        <color theme="1"/>
      </top>
      <bottom style="thin">
        <color auto="1"/>
      </bottom>
      <diagonal/>
    </border>
    <border>
      <left/>
      <right style="medium">
        <color theme="1"/>
      </right>
      <top style="medium">
        <color theme="1"/>
      </top>
      <bottom style="thin">
        <color auto="1"/>
      </bottom>
      <diagonal/>
    </border>
    <border>
      <left style="medium">
        <color theme="1"/>
      </left>
      <right/>
      <top style="thin">
        <color auto="1"/>
      </top>
      <bottom style="thin">
        <color auto="1"/>
      </bottom>
      <diagonal/>
    </border>
    <border>
      <left/>
      <right style="medium">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right/>
      <top style="medium">
        <color theme="1"/>
      </top>
      <bottom/>
      <diagonal/>
    </border>
    <border>
      <left/>
      <right/>
      <top/>
      <bottom style="medium">
        <color theme="1"/>
      </bottom>
      <diagonal/>
    </border>
    <border>
      <left/>
      <right/>
      <top style="medium">
        <color theme="1"/>
      </top>
      <bottom style="thin">
        <color auto="1"/>
      </bottom>
      <diagonal/>
    </border>
    <border>
      <left style="medium">
        <color theme="1"/>
      </left>
      <right/>
      <top style="thin">
        <color auto="1"/>
      </top>
      <bottom/>
      <diagonal/>
    </border>
    <border>
      <left/>
      <right style="medium">
        <color theme="1"/>
      </right>
      <top style="thin">
        <color auto="1"/>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theme="1"/>
      </right>
      <top style="thin">
        <color theme="1"/>
      </top>
      <bottom/>
      <diagonal/>
    </border>
    <border>
      <left/>
      <right style="medium">
        <color theme="1"/>
      </right>
      <top style="thin">
        <color theme="1"/>
      </top>
      <bottom/>
      <diagonal/>
    </border>
    <border>
      <left style="medium">
        <color theme="1"/>
      </left>
      <right style="thin">
        <color theme="1"/>
      </right>
      <top/>
      <bottom/>
      <diagonal/>
    </border>
    <border>
      <left style="medium">
        <color theme="1"/>
      </left>
      <right style="thin">
        <color theme="1"/>
      </right>
      <top/>
      <bottom style="thin">
        <color theme="1"/>
      </bottom>
      <diagonal/>
    </border>
    <border>
      <left/>
      <right style="medium">
        <color theme="1"/>
      </right>
      <top/>
      <bottom style="thin">
        <color theme="1"/>
      </bottom>
      <diagonal/>
    </border>
    <border>
      <left style="medium">
        <color theme="1"/>
      </left>
      <right style="thin">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theme="1"/>
      </left>
      <right style="medium">
        <color theme="1"/>
      </right>
      <top/>
      <bottom style="thin">
        <color theme="1"/>
      </bottom>
      <diagonal/>
    </border>
    <border>
      <left style="thin">
        <color theme="1"/>
      </left>
      <right style="medium">
        <color theme="1"/>
      </right>
      <top style="thin">
        <color theme="1"/>
      </top>
      <bottom/>
      <diagonal/>
    </border>
    <border>
      <left style="thin">
        <color rgb="FF7F7F7F"/>
      </left>
      <right style="medium">
        <color theme="1"/>
      </right>
      <top style="thin">
        <color rgb="FF7F7F7F"/>
      </top>
      <bottom style="thin">
        <color rgb="FF7F7F7F"/>
      </bottom>
      <diagonal/>
    </border>
    <border>
      <left style="thin">
        <color rgb="FF7F7F7F"/>
      </left>
      <right style="medium">
        <color theme="1"/>
      </right>
      <top style="thin">
        <color rgb="FF7F7F7F"/>
      </top>
      <bottom style="medium">
        <color theme="1"/>
      </bottom>
      <diagonal/>
    </border>
    <border>
      <left style="medium">
        <color theme="1"/>
      </left>
      <right/>
      <top style="thin">
        <color auto="1"/>
      </top>
      <bottom style="medium">
        <color theme="1"/>
      </bottom>
      <diagonal/>
    </border>
    <border>
      <left/>
      <right/>
      <top style="thin">
        <color auto="1"/>
      </top>
      <bottom style="medium">
        <color theme="1"/>
      </bottom>
      <diagonal/>
    </border>
    <border>
      <left/>
      <right style="thin">
        <color auto="1"/>
      </right>
      <top style="thin">
        <color auto="1"/>
      </top>
      <bottom style="medium">
        <color theme="1"/>
      </bottom>
      <diagonal/>
    </border>
    <border>
      <left style="thin">
        <color auto="1"/>
      </left>
      <right style="thin">
        <color auto="1"/>
      </right>
      <top style="medium">
        <color theme="1"/>
      </top>
      <bottom style="thin">
        <color auto="1"/>
      </bottom>
      <diagonal/>
    </border>
    <border>
      <left style="thin">
        <color auto="1"/>
      </left>
      <right style="thin">
        <color auto="1"/>
      </right>
      <top style="thin">
        <color auto="1"/>
      </top>
      <bottom style="medium">
        <color theme="1"/>
      </bottom>
      <diagonal/>
    </border>
  </borders>
  <cellStyleXfs count="34">
    <xf numFmtId="0" fontId="0" fillId="0" borderId="0"/>
    <xf numFmtId="166" fontId="1" fillId="0" borderId="0" applyFont="0" applyFill="0" applyBorder="0" applyAlignment="0" applyProtection="0"/>
    <xf numFmtId="0" fontId="7" fillId="2"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9" fontId="1" fillId="0" borderId="0" applyFont="0" applyFill="0" applyBorder="0" applyAlignment="0" applyProtection="0"/>
    <xf numFmtId="0" fontId="10"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7" fillId="4" borderId="0" applyNumberFormat="0" applyBorder="0" applyAlignment="0" applyProtection="0"/>
    <xf numFmtId="0" fontId="18" fillId="5" borderId="9" applyNumberFormat="0" applyAlignment="0" applyProtection="0"/>
    <xf numFmtId="0" fontId="19" fillId="6" borderId="9" applyNumberFormat="0" applyAlignment="0" applyProtection="0"/>
    <xf numFmtId="0" fontId="20" fillId="0" borderId="10" applyNumberFormat="0" applyFill="0" applyAlignment="0" applyProtection="0"/>
    <xf numFmtId="0" fontId="13" fillId="0" borderId="0" applyNumberFormat="0" applyFill="0" applyBorder="0" applyAlignment="0" applyProtection="0"/>
  </cellStyleXfs>
  <cellXfs count="473">
    <xf numFmtId="0" fontId="0" fillId="0" borderId="0" xfId="0"/>
    <xf numFmtId="0" fontId="2" fillId="0" borderId="0" xfId="0" applyFont="1" applyFill="1"/>
    <xf numFmtId="2" fontId="2" fillId="0" borderId="0" xfId="0" applyNumberFormat="1" applyFont="1" applyFill="1"/>
    <xf numFmtId="2" fontId="3" fillId="0" borderId="0" xfId="0" applyNumberFormat="1" applyFont="1" applyFill="1"/>
    <xf numFmtId="0" fontId="3" fillId="0" borderId="0" xfId="0" applyFont="1" applyFill="1"/>
    <xf numFmtId="0" fontId="2"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right"/>
    </xf>
    <xf numFmtId="0" fontId="0" fillId="0" borderId="0" xfId="0" applyFill="1"/>
    <xf numFmtId="0" fontId="2" fillId="0" borderId="0" xfId="0" applyFont="1" applyFill="1" applyBorder="1" applyAlignment="1">
      <alignment horizontal="right"/>
    </xf>
    <xf numFmtId="0" fontId="2" fillId="0" borderId="0" xfId="0" applyFont="1" applyFill="1" applyAlignment="1">
      <alignment horizontal="left"/>
    </xf>
    <xf numFmtId="168" fontId="2" fillId="0" borderId="0" xfId="0" applyNumberFormat="1" applyFont="1" applyFill="1" applyBorder="1" applyAlignment="1">
      <alignment horizontal="right"/>
    </xf>
    <xf numFmtId="0" fontId="2" fillId="0" borderId="0" xfId="0" applyFont="1" applyFill="1" applyBorder="1" applyAlignment="1">
      <alignment horizontal="center" vertical="center" wrapText="1"/>
    </xf>
    <xf numFmtId="168" fontId="2" fillId="0" borderId="0" xfId="0" applyNumberFormat="1" applyFont="1" applyFill="1" applyBorder="1" applyAlignment="1">
      <alignment horizontal="left"/>
    </xf>
    <xf numFmtId="2" fontId="2" fillId="0" borderId="0" xfId="0" applyNumberFormat="1" applyFont="1" applyFill="1" applyBorder="1"/>
    <xf numFmtId="2" fontId="3" fillId="0" borderId="0" xfId="0" applyNumberFormat="1" applyFont="1" applyFill="1" applyBorder="1" applyAlignment="1">
      <alignment horizontal="center"/>
    </xf>
    <xf numFmtId="0" fontId="3" fillId="0" borderId="0" xfId="0" applyFont="1" applyFill="1" applyBorder="1" applyAlignment="1">
      <alignment horizontal="left"/>
    </xf>
    <xf numFmtId="0" fontId="2" fillId="0" borderId="0" xfId="0" applyFont="1" applyFill="1" applyBorder="1" applyAlignment="1">
      <alignment horizontal="center"/>
    </xf>
    <xf numFmtId="2" fontId="9" fillId="0" borderId="0" xfId="4" applyNumberFormat="1" applyFill="1" applyBorder="1" applyAlignment="1">
      <alignment horizontal="left"/>
    </xf>
    <xf numFmtId="0" fontId="0" fillId="0" borderId="1" xfId="0" applyBorder="1"/>
    <xf numFmtId="167" fontId="0" fillId="0" borderId="0" xfId="0" applyNumberFormat="1"/>
    <xf numFmtId="0" fontId="12" fillId="0" borderId="1" xfId="0" applyFont="1" applyBorder="1"/>
    <xf numFmtId="167" fontId="0" fillId="0" borderId="1" xfId="0" applyNumberFormat="1" applyBorder="1"/>
    <xf numFmtId="0" fontId="4" fillId="0" borderId="0" xfId="0" applyFont="1" applyFill="1"/>
    <xf numFmtId="0" fontId="0" fillId="0" borderId="0" xfId="0"/>
    <xf numFmtId="0" fontId="12" fillId="0" borderId="0" xfId="0" applyFont="1"/>
    <xf numFmtId="0" fontId="0" fillId="0" borderId="0" xfId="0" applyNumberFormat="1"/>
    <xf numFmtId="0" fontId="0" fillId="0" borderId="0" xfId="0" applyAlignment="1">
      <alignment wrapText="1"/>
    </xf>
    <xf numFmtId="0" fontId="11" fillId="0" borderId="0" xfId="0" applyFont="1" applyFill="1" applyAlignment="1">
      <alignment horizontal="left"/>
    </xf>
    <xf numFmtId="0" fontId="11" fillId="0" borderId="0" xfId="6" applyFont="1" applyFill="1" applyAlignment="1">
      <alignment horizontal="left"/>
    </xf>
    <xf numFmtId="0" fontId="4" fillId="0" borderId="0" xfId="0" applyFont="1"/>
    <xf numFmtId="0" fontId="9" fillId="0" borderId="0" xfId="4" applyFill="1" applyBorder="1" applyAlignment="1">
      <alignment horizontal="left"/>
    </xf>
    <xf numFmtId="167" fontId="0" fillId="0" borderId="1" xfId="1" applyNumberFormat="1" applyFont="1" applyBorder="1"/>
    <xf numFmtId="167" fontId="2"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2" fillId="0" borderId="0" xfId="0" applyNumberFormat="1" applyFont="1" applyFill="1" applyAlignment="1">
      <alignment horizontal="right" vertical="center"/>
    </xf>
    <xf numFmtId="0" fontId="0" fillId="0" borderId="0" xfId="0" applyBorder="1"/>
    <xf numFmtId="1" fontId="0" fillId="0" borderId="1" xfId="0" applyNumberFormat="1" applyBorder="1"/>
    <xf numFmtId="167" fontId="0" fillId="0" borderId="0" xfId="0" applyNumberFormat="1" applyBorder="1"/>
    <xf numFmtId="0" fontId="12" fillId="0" borderId="0" xfId="0" applyFont="1" applyBorder="1"/>
    <xf numFmtId="0" fontId="3" fillId="0" borderId="0" xfId="0" applyFont="1" applyFill="1" applyAlignment="1"/>
    <xf numFmtId="164" fontId="0" fillId="0" borderId="0" xfId="0" applyNumberFormat="1" applyBorder="1" applyAlignment="1">
      <alignment wrapText="1"/>
    </xf>
    <xf numFmtId="168" fontId="0" fillId="0" borderId="0" xfId="0" applyNumberFormat="1" applyFill="1" applyAlignment="1">
      <alignment horizontal="right" vertical="center"/>
    </xf>
    <xf numFmtId="168" fontId="0" fillId="0" borderId="0" xfId="0" applyNumberFormat="1"/>
    <xf numFmtId="2" fontId="0" fillId="0" borderId="0" xfId="0" applyNumberFormat="1"/>
    <xf numFmtId="0" fontId="0" fillId="0" borderId="0" xfId="0" applyFill="1" applyBorder="1" applyAlignment="1">
      <alignment horizontal="right"/>
    </xf>
    <xf numFmtId="164" fontId="0" fillId="0" borderId="0" xfId="0" applyNumberFormat="1" applyFill="1" applyBorder="1" applyAlignment="1">
      <alignment wrapText="1"/>
    </xf>
    <xf numFmtId="0" fontId="2" fillId="0" borderId="0" xfId="0" applyFont="1" applyFill="1" applyBorder="1" applyAlignment="1">
      <alignment horizontal="left"/>
    </xf>
    <xf numFmtId="170" fontId="0" fillId="0" borderId="7" xfId="0" applyNumberFormat="1" applyBorder="1"/>
    <xf numFmtId="167" fontId="0" fillId="0" borderId="7" xfId="0" applyNumberFormat="1" applyBorder="1" applyAlignment="1">
      <alignment horizontal="right"/>
    </xf>
    <xf numFmtId="165" fontId="0" fillId="0" borderId="0" xfId="0" applyNumberFormat="1" applyBorder="1" applyAlignment="1">
      <alignment horizontal="right" wrapText="1"/>
    </xf>
    <xf numFmtId="165" fontId="0" fillId="0" borderId="0" xfId="0" applyNumberFormat="1" applyFill="1" applyBorder="1" applyAlignment="1">
      <alignment horizontal="right" wrapText="1"/>
    </xf>
    <xf numFmtId="167" fontId="2" fillId="0" borderId="0" xfId="0" applyNumberFormat="1" applyFont="1" applyFill="1" applyBorder="1" applyAlignment="1">
      <alignment horizontal="left" vertical="center"/>
    </xf>
    <xf numFmtId="0" fontId="0" fillId="0" borderId="0" xfId="0" applyBorder="1" applyAlignment="1"/>
    <xf numFmtId="0" fontId="0" fillId="0" borderId="0" xfId="0" applyAlignment="1"/>
    <xf numFmtId="2" fontId="21" fillId="0" borderId="0" xfId="4" applyNumberFormat="1" applyFont="1" applyFill="1" applyBorder="1" applyAlignment="1">
      <alignment horizontal="left"/>
    </xf>
    <xf numFmtId="0" fontId="12" fillId="0" borderId="11" xfId="0" applyFont="1" applyBorder="1"/>
    <xf numFmtId="0" fontId="12" fillId="0" borderId="12" xfId="0" applyFont="1" applyBorder="1"/>
    <xf numFmtId="0" fontId="12" fillId="0" borderId="13" xfId="0"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12" fillId="0" borderId="14" xfId="0" applyFont="1" applyBorder="1"/>
    <xf numFmtId="0" fontId="12" fillId="0" borderId="16" xfId="0" applyFont="1" applyBorder="1"/>
    <xf numFmtId="0" fontId="5" fillId="0" borderId="14" xfId="0" applyFont="1" applyFill="1" applyBorder="1"/>
    <xf numFmtId="0" fontId="5" fillId="0" borderId="21" xfId="0" applyFont="1" applyFill="1" applyBorder="1"/>
    <xf numFmtId="0" fontId="0" fillId="0" borderId="14" xfId="0" applyBorder="1" applyAlignment="1">
      <alignment horizontal="left" indent="2"/>
    </xf>
    <xf numFmtId="0" fontId="26" fillId="0" borderId="14" xfId="0" applyFont="1" applyBorder="1"/>
    <xf numFmtId="10" fontId="0" fillId="0" borderId="15" xfId="0" applyNumberFormat="1" applyBorder="1"/>
    <xf numFmtId="0" fontId="0" fillId="0" borderId="23" xfId="0" applyFill="1" applyBorder="1" applyAlignment="1">
      <alignment horizontal="left"/>
    </xf>
    <xf numFmtId="0" fontId="0" fillId="0" borderId="14" xfId="0" applyFill="1" applyBorder="1" applyAlignment="1">
      <alignment horizontal="left"/>
    </xf>
    <xf numFmtId="0" fontId="19" fillId="6" borderId="25" xfId="31" applyBorder="1"/>
    <xf numFmtId="0" fontId="26" fillId="0" borderId="11" xfId="0" applyFont="1" applyBorder="1"/>
    <xf numFmtId="0" fontId="0" fillId="0" borderId="12" xfId="0" applyBorder="1"/>
    <xf numFmtId="0" fontId="0" fillId="0" borderId="13" xfId="0" applyBorder="1"/>
    <xf numFmtId="0" fontId="0" fillId="0" borderId="16" xfId="0" applyFill="1" applyBorder="1"/>
    <xf numFmtId="0" fontId="0" fillId="0" borderId="0" xfId="0" applyFont="1" applyBorder="1" applyAlignment="1">
      <alignment wrapText="1"/>
    </xf>
    <xf numFmtId="10" fontId="0" fillId="0" borderId="0" xfId="0" applyNumberFormat="1"/>
    <xf numFmtId="44" fontId="0" fillId="0" borderId="0" xfId="0" applyNumberFormat="1"/>
    <xf numFmtId="44" fontId="12" fillId="0" borderId="0" xfId="0" applyNumberFormat="1" applyFont="1" applyBorder="1" applyAlignment="1"/>
    <xf numFmtId="0" fontId="12" fillId="0" borderId="31" xfId="0" applyFont="1" applyBorder="1" applyAlignment="1"/>
    <xf numFmtId="0" fontId="12" fillId="0" borderId="32" xfId="0" applyFont="1" applyBorder="1" applyAlignment="1"/>
    <xf numFmtId="0" fontId="12" fillId="0" borderId="33" xfId="0" applyFont="1" applyBorder="1" applyAlignment="1"/>
    <xf numFmtId="0" fontId="12" fillId="0" borderId="0" xfId="0" applyFont="1" applyFill="1" applyBorder="1" applyAlignment="1">
      <alignment horizontal="left"/>
    </xf>
    <xf numFmtId="0" fontId="12" fillId="3" borderId="14" xfId="0" applyFont="1" applyFill="1" applyBorder="1" applyAlignment="1"/>
    <xf numFmtId="0" fontId="12" fillId="3" borderId="0" xfId="0" applyFont="1" applyFill="1" applyBorder="1" applyAlignment="1"/>
    <xf numFmtId="0" fontId="35" fillId="0" borderId="0" xfId="0" applyFont="1"/>
    <xf numFmtId="0" fontId="0" fillId="0" borderId="0" xfId="0" applyFill="1" applyBorder="1"/>
    <xf numFmtId="17" fontId="36" fillId="0" borderId="0" xfId="33" applyNumberFormat="1" applyFont="1" applyFill="1"/>
    <xf numFmtId="167" fontId="11" fillId="0" borderId="0" xfId="0" applyNumberFormat="1" applyFont="1" applyFill="1"/>
    <xf numFmtId="167" fontId="30" fillId="0" borderId="0" xfId="0" applyNumberFormat="1" applyFont="1" applyFill="1" applyBorder="1" applyAlignment="1">
      <alignment horizontal="right" vertical="center"/>
    </xf>
    <xf numFmtId="0" fontId="12" fillId="3" borderId="15" xfId="0" applyFont="1" applyFill="1" applyBorder="1" applyAlignment="1"/>
    <xf numFmtId="0" fontId="12" fillId="7" borderId="16" xfId="0" applyFont="1" applyFill="1" applyBorder="1" applyAlignment="1"/>
    <xf numFmtId="0" fontId="12" fillId="7" borderId="17" xfId="0" applyFont="1" applyFill="1" applyBorder="1" applyAlignment="1"/>
    <xf numFmtId="44" fontId="12" fillId="7" borderId="17" xfId="0" applyNumberFormat="1" applyFont="1" applyFill="1" applyBorder="1" applyAlignment="1"/>
    <xf numFmtId="44" fontId="12" fillId="7" borderId="18" xfId="0" applyNumberFormat="1" applyFont="1" applyFill="1" applyBorder="1"/>
    <xf numFmtId="10" fontId="18" fillId="7" borderId="19" xfId="30" applyNumberFormat="1" applyFill="1" applyBorder="1"/>
    <xf numFmtId="10" fontId="18" fillId="7" borderId="20" xfId="30" applyNumberFormat="1" applyFill="1" applyBorder="1"/>
    <xf numFmtId="0" fontId="18" fillId="7" borderId="19" xfId="30" applyFill="1" applyBorder="1"/>
    <xf numFmtId="9" fontId="18" fillId="7" borderId="20" xfId="30" applyNumberFormat="1" applyFill="1" applyBorder="1"/>
    <xf numFmtId="0" fontId="30" fillId="7" borderId="22" xfId="31" applyFont="1" applyFill="1" applyBorder="1"/>
    <xf numFmtId="0" fontId="18" fillId="7" borderId="15" xfId="30" applyFill="1" applyBorder="1"/>
    <xf numFmtId="9" fontId="18" fillId="7" borderId="15" xfId="30" applyNumberFormat="1" applyFill="1" applyBorder="1"/>
    <xf numFmtId="9" fontId="18" fillId="7" borderId="19" xfId="30" applyNumberFormat="1" applyFill="1" applyBorder="1"/>
    <xf numFmtId="0" fontId="18" fillId="7" borderId="20" xfId="30" applyFill="1" applyBorder="1"/>
    <xf numFmtId="4" fontId="30" fillId="6" borderId="24" xfId="31" applyNumberFormat="1" applyFont="1" applyBorder="1"/>
    <xf numFmtId="4" fontId="30" fillId="6" borderId="20" xfId="31" applyNumberFormat="1" applyFont="1" applyBorder="1"/>
    <xf numFmtId="4" fontId="30" fillId="6" borderId="19" xfId="31" applyNumberFormat="1" applyFont="1" applyBorder="1"/>
    <xf numFmtId="4" fontId="30" fillId="6" borderId="25" xfId="31" applyNumberFormat="1" applyFont="1" applyBorder="1"/>
    <xf numFmtId="0" fontId="30" fillId="7" borderId="25" xfId="31" applyFont="1" applyFill="1" applyBorder="1"/>
    <xf numFmtId="10" fontId="23" fillId="7" borderId="9" xfId="30" applyNumberFormat="1" applyFont="1" applyFill="1" applyBorder="1"/>
    <xf numFmtId="0" fontId="23" fillId="7" borderId="9" xfId="30" applyFont="1" applyFill="1" applyBorder="1"/>
    <xf numFmtId="0" fontId="12" fillId="7" borderId="26" xfId="31" applyFont="1" applyFill="1" applyBorder="1"/>
    <xf numFmtId="0" fontId="12" fillId="7" borderId="25" xfId="31" applyFont="1" applyFill="1" applyBorder="1"/>
    <xf numFmtId="0" fontId="23" fillId="7" borderId="28" xfId="30" applyFont="1" applyFill="1" applyBorder="1"/>
    <xf numFmtId="10" fontId="23" fillId="7" borderId="19" xfId="30" applyNumberFormat="1" applyFont="1" applyFill="1" applyBorder="1"/>
    <xf numFmtId="0" fontId="18" fillId="7" borderId="28" xfId="30" applyFill="1" applyBorder="1"/>
    <xf numFmtId="0" fontId="18" fillId="7" borderId="9" xfId="30" applyFill="1" applyBorder="1"/>
    <xf numFmtId="0" fontId="18" fillId="7" borderId="29" xfId="30" applyFill="1" applyBorder="1"/>
    <xf numFmtId="0" fontId="18" fillId="7" borderId="26" xfId="30" applyFill="1" applyBorder="1"/>
    <xf numFmtId="10" fontId="18" fillId="7" borderId="25" xfId="30" applyNumberFormat="1" applyFill="1" applyBorder="1"/>
    <xf numFmtId="3" fontId="23" fillId="7" borderId="9" xfId="30" applyNumberFormat="1" applyFont="1" applyFill="1" applyBorder="1"/>
    <xf numFmtId="3" fontId="18" fillId="7" borderId="28" xfId="30" applyNumberFormat="1" applyFill="1" applyBorder="1"/>
    <xf numFmtId="0" fontId="23" fillId="7" borderId="19" xfId="30" applyFont="1" applyFill="1" applyBorder="1"/>
    <xf numFmtId="9" fontId="23" fillId="7" borderId="19" xfId="30" applyNumberFormat="1" applyFont="1" applyFill="1" applyBorder="1"/>
    <xf numFmtId="9" fontId="23" fillId="7" borderId="9" xfId="30" applyNumberFormat="1" applyFont="1" applyFill="1" applyBorder="1"/>
    <xf numFmtId="167" fontId="20" fillId="0" borderId="38" xfId="32" applyNumberFormat="1" applyFill="1" applyBorder="1"/>
    <xf numFmtId="0" fontId="12" fillId="0" borderId="35" xfId="0" applyFont="1" applyBorder="1"/>
    <xf numFmtId="167" fontId="0" fillId="0" borderId="35" xfId="0" applyNumberFormat="1" applyBorder="1"/>
    <xf numFmtId="167" fontId="0" fillId="0" borderId="36" xfId="0" applyNumberFormat="1" applyBorder="1"/>
    <xf numFmtId="0" fontId="12" fillId="7" borderId="31" xfId="0" applyFont="1" applyFill="1" applyBorder="1" applyAlignment="1"/>
    <xf numFmtId="0" fontId="12" fillId="7" borderId="32" xfId="0" applyFont="1" applyFill="1" applyBorder="1" applyAlignment="1"/>
    <xf numFmtId="44" fontId="12" fillId="7" borderId="32" xfId="0" applyNumberFormat="1" applyFont="1" applyFill="1" applyBorder="1"/>
    <xf numFmtId="44" fontId="12" fillId="7" borderId="33" xfId="0" applyNumberFormat="1" applyFont="1" applyFill="1" applyBorder="1"/>
    <xf numFmtId="1" fontId="23" fillId="7" borderId="25" xfId="30" applyNumberFormat="1" applyFont="1" applyFill="1" applyBorder="1"/>
    <xf numFmtId="0" fontId="2" fillId="0" borderId="0" xfId="0" applyFont="1" applyBorder="1" applyAlignment="1">
      <alignment horizontal="left"/>
    </xf>
    <xf numFmtId="167" fontId="11" fillId="0" borderId="0" xfId="0" applyNumberFormat="1" applyFont="1" applyBorder="1" applyAlignment="1">
      <alignment horizontal="right" vertical="center"/>
    </xf>
    <xf numFmtId="0" fontId="10" fillId="0" borderId="0" xfId="0" applyFont="1"/>
    <xf numFmtId="0" fontId="37" fillId="0" borderId="0" xfId="0" applyFont="1"/>
    <xf numFmtId="0" fontId="13" fillId="0" borderId="0" xfId="33"/>
    <xf numFmtId="0" fontId="0" fillId="0" borderId="30" xfId="0" applyBorder="1" applyAlignment="1">
      <alignment horizontal="left"/>
    </xf>
    <xf numFmtId="0" fontId="0" fillId="0" borderId="2" xfId="0" applyBorder="1" applyAlignment="1">
      <alignment horizontal="left"/>
    </xf>
    <xf numFmtId="0" fontId="0" fillId="0" borderId="3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5" fillId="0" borderId="14" xfId="0" applyFont="1" applyBorder="1"/>
    <xf numFmtId="0" fontId="5" fillId="0" borderId="14" xfId="0" applyFont="1" applyBorder="1" applyAlignment="1">
      <alignment horizontal="left" indent="2"/>
    </xf>
    <xf numFmtId="3" fontId="36" fillId="7" borderId="19" xfId="30" applyNumberFormat="1" applyFont="1" applyFill="1" applyBorder="1"/>
    <xf numFmtId="0" fontId="36" fillId="7" borderId="15" xfId="0" applyFont="1" applyFill="1" applyBorder="1"/>
    <xf numFmtId="0" fontId="35" fillId="0" borderId="1" xfId="0" applyFont="1" applyBorder="1" applyAlignment="1">
      <alignment horizontal="center"/>
    </xf>
    <xf numFmtId="0" fontId="12" fillId="0" borderId="1" xfId="0" applyFont="1" applyBorder="1" applyAlignment="1">
      <alignment horizontal="center"/>
    </xf>
    <xf numFmtId="0" fontId="18" fillId="7" borderId="1" xfId="30" applyFill="1" applyBorder="1"/>
    <xf numFmtId="9" fontId="18" fillId="7" borderId="1" xfId="30" applyNumberFormat="1" applyFill="1" applyBorder="1"/>
    <xf numFmtId="0" fontId="30" fillId="7" borderId="1" xfId="31" applyFont="1" applyFill="1" applyBorder="1"/>
    <xf numFmtId="0" fontId="0" fillId="0" borderId="1" xfId="0" applyFill="1" applyBorder="1"/>
    <xf numFmtId="0" fontId="11" fillId="0" borderId="0" xfId="6" applyFont="1" applyFill="1" applyBorder="1" applyAlignment="1">
      <alignment horizontal="left"/>
    </xf>
    <xf numFmtId="166" fontId="3" fillId="0" borderId="0" xfId="0" applyNumberFormat="1" applyFont="1" applyFill="1" applyBorder="1" applyAlignment="1">
      <alignment horizontal="left"/>
    </xf>
    <xf numFmtId="0" fontId="3" fillId="0" borderId="58" xfId="0" applyFont="1" applyFill="1" applyBorder="1" applyAlignment="1">
      <alignment horizontal="left"/>
    </xf>
    <xf numFmtId="0" fontId="2" fillId="0" borderId="58" xfId="0" applyFont="1" applyFill="1" applyBorder="1" applyAlignment="1">
      <alignment horizontal="left"/>
    </xf>
    <xf numFmtId="166" fontId="3" fillId="0" borderId="59" xfId="0" applyNumberFormat="1" applyFont="1" applyFill="1" applyBorder="1" applyAlignment="1">
      <alignment horizontal="left"/>
    </xf>
    <xf numFmtId="0" fontId="2" fillId="0" borderId="62" xfId="0" applyFont="1" applyFill="1" applyBorder="1" applyAlignment="1">
      <alignment horizontal="left"/>
    </xf>
    <xf numFmtId="0" fontId="3" fillId="0" borderId="62" xfId="0" applyFont="1" applyFill="1" applyBorder="1" applyAlignment="1">
      <alignment horizontal="left"/>
    </xf>
    <xf numFmtId="0" fontId="11" fillId="0" borderId="62" xfId="6" applyFont="1" applyFill="1" applyBorder="1" applyAlignment="1">
      <alignment horizontal="left"/>
    </xf>
    <xf numFmtId="0" fontId="2" fillId="0" borderId="0" xfId="0" applyFont="1" applyFill="1" applyBorder="1" applyAlignment="1">
      <alignment horizontal="left" wrapText="1"/>
    </xf>
    <xf numFmtId="2" fontId="3" fillId="0" borderId="63" xfId="0" applyNumberFormat="1" applyFont="1" applyFill="1" applyBorder="1" applyAlignment="1">
      <alignment horizontal="center"/>
    </xf>
    <xf numFmtId="2" fontId="2" fillId="0" borderId="62" xfId="0" applyNumberFormat="1" applyFont="1" applyFill="1" applyBorder="1" applyAlignment="1">
      <alignment horizontal="left"/>
    </xf>
    <xf numFmtId="167" fontId="2" fillId="0" borderId="63" xfId="0" applyNumberFormat="1" applyFont="1" applyFill="1" applyBorder="1" applyAlignment="1">
      <alignment horizontal="right" vertical="center"/>
    </xf>
    <xf numFmtId="167" fontId="6" fillId="0" borderId="63" xfId="0" applyNumberFormat="1" applyFont="1" applyFill="1" applyBorder="1" applyAlignment="1">
      <alignment horizontal="right" vertical="center"/>
    </xf>
    <xf numFmtId="167" fontId="11" fillId="0" borderId="63" xfId="0" applyNumberFormat="1" applyFont="1" applyFill="1" applyBorder="1" applyAlignment="1">
      <alignment horizontal="right" vertical="center"/>
    </xf>
    <xf numFmtId="2" fontId="2" fillId="0" borderId="63" xfId="0" applyNumberFormat="1" applyFont="1" applyFill="1" applyBorder="1" applyAlignment="1">
      <alignment horizontal="right"/>
    </xf>
    <xf numFmtId="167" fontId="30" fillId="0" borderId="63" xfId="0" applyNumberFormat="1" applyFont="1" applyFill="1" applyBorder="1" applyAlignment="1">
      <alignment horizontal="right" vertical="center"/>
    </xf>
    <xf numFmtId="167" fontId="30" fillId="0" borderId="59" xfId="0" applyNumberFormat="1" applyFont="1" applyFill="1" applyBorder="1" applyAlignment="1">
      <alignment horizontal="right" vertical="center"/>
    </xf>
    <xf numFmtId="167" fontId="3" fillId="0" borderId="63" xfId="0" applyNumberFormat="1" applyFont="1" applyFill="1" applyBorder="1" applyAlignment="1">
      <alignment horizontal="right" vertical="center"/>
    </xf>
    <xf numFmtId="166" fontId="3" fillId="0" borderId="63" xfId="0" applyNumberFormat="1" applyFont="1" applyFill="1" applyBorder="1" applyAlignment="1">
      <alignment horizontal="left"/>
    </xf>
    <xf numFmtId="167" fontId="0" fillId="0" borderId="0" xfId="0" applyNumberFormat="1" applyFill="1" applyAlignment="1">
      <alignment horizontal="right" vertical="center"/>
    </xf>
    <xf numFmtId="167" fontId="0" fillId="0" borderId="0" xfId="0" applyNumberFormat="1" applyFill="1" applyBorder="1" applyAlignment="1">
      <alignment horizontal="right" vertical="center"/>
    </xf>
    <xf numFmtId="167" fontId="0" fillId="0" borderId="0" xfId="0" applyNumberFormat="1" applyFill="1" applyAlignment="1">
      <alignment horizontal="right"/>
    </xf>
    <xf numFmtId="0" fontId="5" fillId="0" borderId="62" xfId="0" applyFont="1" applyFill="1" applyBorder="1" applyAlignment="1">
      <alignment wrapText="1"/>
    </xf>
    <xf numFmtId="0" fontId="24" fillId="0" borderId="62" xfId="0" applyFont="1" applyFill="1" applyBorder="1" applyAlignment="1">
      <alignment vertical="center" wrapText="1"/>
    </xf>
    <xf numFmtId="0" fontId="24" fillId="0" borderId="58" xfId="0" applyFont="1" applyFill="1" applyBorder="1" applyAlignment="1">
      <alignment vertical="center" wrapText="1"/>
    </xf>
    <xf numFmtId="0" fontId="24" fillId="0" borderId="0" xfId="0" applyFont="1" applyFill="1" applyBorder="1" applyAlignment="1">
      <alignment vertical="center" wrapText="1"/>
    </xf>
    <xf numFmtId="0" fontId="11" fillId="0" borderId="62" xfId="0" applyFont="1" applyFill="1" applyBorder="1" applyAlignment="1">
      <alignment horizontal="left"/>
    </xf>
    <xf numFmtId="0" fontId="0" fillId="0" borderId="0" xfId="0" applyFill="1" applyAlignment="1">
      <alignment horizontal="left"/>
    </xf>
    <xf numFmtId="0" fontId="0" fillId="0" borderId="0" xfId="0" applyFill="1" applyBorder="1" applyAlignment="1">
      <alignment horizontal="left"/>
    </xf>
    <xf numFmtId="167" fontId="12" fillId="0" borderId="0" xfId="0" applyNumberFormat="1" applyFont="1" applyFill="1" applyAlignment="1">
      <alignment horizontal="left"/>
    </xf>
    <xf numFmtId="0" fontId="12" fillId="0" borderId="0" xfId="0" applyFont="1" applyFill="1" applyAlignment="1">
      <alignment horizontal="left"/>
    </xf>
    <xf numFmtId="169" fontId="0" fillId="0" borderId="0" xfId="0" applyNumberFormat="1" applyFill="1" applyAlignment="1">
      <alignment horizontal="left" vertical="center"/>
    </xf>
    <xf numFmtId="169" fontId="0" fillId="0" borderId="0" xfId="0" applyNumberFormat="1" applyFill="1"/>
    <xf numFmtId="166" fontId="2" fillId="0" borderId="63" xfId="0" applyNumberFormat="1" applyFont="1" applyFill="1" applyBorder="1" applyAlignment="1">
      <alignment horizontal="left"/>
    </xf>
    <xf numFmtId="167" fontId="12" fillId="0" borderId="0" xfId="1" applyNumberFormat="1" applyFont="1" applyFill="1" applyBorder="1" applyAlignment="1">
      <alignment horizontal="right" vertical="center"/>
    </xf>
    <xf numFmtId="0" fontId="2" fillId="0" borderId="62" xfId="2" applyFont="1" applyFill="1" applyBorder="1" applyAlignment="1">
      <alignment horizontal="left"/>
    </xf>
    <xf numFmtId="167" fontId="2" fillId="0" borderId="63" xfId="2" applyNumberFormat="1" applyFont="1" applyFill="1" applyBorder="1" applyAlignment="1">
      <alignment horizontal="right" vertical="center"/>
    </xf>
    <xf numFmtId="167" fontId="12" fillId="0" borderId="59" xfId="1" applyNumberFormat="1" applyFont="1" applyFill="1" applyBorder="1" applyAlignment="1">
      <alignment horizontal="right" vertical="center"/>
    </xf>
    <xf numFmtId="167" fontId="3" fillId="0" borderId="63" xfId="2" applyNumberFormat="1" applyFont="1" applyFill="1" applyBorder="1" applyAlignment="1">
      <alignment horizontal="right" vertical="center"/>
    </xf>
    <xf numFmtId="167" fontId="3" fillId="0" borderId="59" xfId="0" applyNumberFormat="1" applyFont="1" applyFill="1" applyBorder="1" applyAlignment="1">
      <alignment horizontal="right" vertical="center"/>
    </xf>
    <xf numFmtId="167" fontId="3" fillId="0" borderId="0" xfId="0" applyNumberFormat="1" applyFont="1" applyFill="1" applyBorder="1" applyAlignment="1">
      <alignment horizontal="left" vertical="center"/>
    </xf>
    <xf numFmtId="167" fontId="20" fillId="0" borderId="15" xfId="32" applyNumberFormat="1" applyFill="1" applyBorder="1"/>
    <xf numFmtId="167" fontId="2" fillId="0" borderId="62" xfId="0" applyNumberFormat="1" applyFont="1" applyFill="1" applyBorder="1" applyAlignment="1">
      <alignment horizontal="left" vertical="center"/>
    </xf>
    <xf numFmtId="167" fontId="17" fillId="0" borderId="63" xfId="29" applyNumberFormat="1" applyFill="1" applyBorder="1" applyAlignment="1">
      <alignment horizontal="right" vertical="center"/>
    </xf>
    <xf numFmtId="167" fontId="3" fillId="0" borderId="62" xfId="0" applyNumberFormat="1" applyFont="1" applyFill="1" applyBorder="1" applyAlignment="1">
      <alignment horizontal="left" vertical="center"/>
    </xf>
    <xf numFmtId="167" fontId="3" fillId="0" borderId="58" xfId="0" applyNumberFormat="1" applyFont="1" applyFill="1" applyBorder="1" applyAlignment="1">
      <alignment horizontal="left" vertical="center"/>
    </xf>
    <xf numFmtId="167" fontId="2" fillId="0" borderId="58" xfId="0" applyNumberFormat="1" applyFont="1" applyFill="1" applyBorder="1" applyAlignment="1">
      <alignment horizontal="left" vertical="center"/>
    </xf>
    <xf numFmtId="167" fontId="12" fillId="0" borderId="63" xfId="0" applyNumberFormat="1" applyFont="1" applyFill="1" applyBorder="1" applyAlignment="1">
      <alignment horizontal="right" vertical="center"/>
    </xf>
    <xf numFmtId="170" fontId="0" fillId="0" borderId="0" xfId="0" applyNumberFormat="1" applyBorder="1"/>
    <xf numFmtId="0" fontId="12" fillId="0" borderId="61" xfId="0" applyFont="1" applyBorder="1" applyAlignment="1">
      <alignment horizontal="left"/>
    </xf>
    <xf numFmtId="170" fontId="0" fillId="0" borderId="62" xfId="0" applyNumberFormat="1" applyBorder="1"/>
    <xf numFmtId="167" fontId="0" fillId="0" borderId="63" xfId="0" applyNumberFormat="1" applyFill="1" applyBorder="1" applyAlignment="1">
      <alignment horizontal="right"/>
    </xf>
    <xf numFmtId="164" fontId="0" fillId="0" borderId="62" xfId="0" applyNumberFormat="1" applyBorder="1" applyAlignment="1">
      <alignment wrapText="1"/>
    </xf>
    <xf numFmtId="167" fontId="0" fillId="0" borderId="63" xfId="0" applyNumberFormat="1" applyBorder="1" applyAlignment="1">
      <alignment horizontal="right"/>
    </xf>
    <xf numFmtId="165" fontId="0" fillId="0" borderId="63" xfId="0" applyNumberFormat="1" applyBorder="1" applyAlignment="1">
      <alignment horizontal="right" wrapText="1"/>
    </xf>
    <xf numFmtId="164" fontId="0" fillId="0" borderId="62" xfId="0" applyNumberFormat="1" applyFill="1" applyBorder="1" applyAlignment="1">
      <alignment wrapText="1"/>
    </xf>
    <xf numFmtId="165" fontId="0" fillId="0" borderId="63" xfId="0" applyNumberFormat="1" applyFill="1" applyBorder="1" applyAlignment="1">
      <alignment horizontal="right" wrapText="1"/>
    </xf>
    <xf numFmtId="164" fontId="0" fillId="0" borderId="58" xfId="0" applyNumberFormat="1" applyFill="1" applyBorder="1" applyAlignment="1">
      <alignment wrapText="1"/>
    </xf>
    <xf numFmtId="165" fontId="0" fillId="0" borderId="59" xfId="0" applyNumberFormat="1" applyFill="1" applyBorder="1" applyAlignment="1">
      <alignment horizontal="right" wrapText="1"/>
    </xf>
    <xf numFmtId="0" fontId="12" fillId="0" borderId="64" xfId="0" applyFont="1" applyBorder="1" applyAlignment="1">
      <alignment horizontal="left"/>
    </xf>
    <xf numFmtId="170" fontId="0" fillId="0" borderId="67" xfId="0" applyNumberFormat="1" applyBorder="1"/>
    <xf numFmtId="167" fontId="0" fillId="0" borderId="68" xfId="0" applyNumberFormat="1" applyBorder="1" applyAlignment="1">
      <alignment horizontal="right"/>
    </xf>
    <xf numFmtId="0" fontId="0" fillId="0" borderId="65" xfId="0" applyBorder="1" applyAlignment="1">
      <alignment horizontal="center"/>
    </xf>
    <xf numFmtId="165" fontId="0" fillId="0" borderId="65" xfId="0" applyNumberFormat="1" applyFill="1" applyBorder="1" applyAlignment="1">
      <alignment horizontal="right" wrapText="1"/>
    </xf>
    <xf numFmtId="164" fontId="0" fillId="0" borderId="65" xfId="0" applyNumberFormat="1" applyFill="1" applyBorder="1" applyAlignment="1">
      <alignment wrapText="1"/>
    </xf>
    <xf numFmtId="0" fontId="5" fillId="0" borderId="0" xfId="0" applyFont="1" applyFill="1" applyBorder="1" applyAlignment="1">
      <alignment wrapText="1"/>
    </xf>
    <xf numFmtId="0" fontId="0" fillId="7" borderId="0" xfId="0" applyFont="1" applyFill="1" applyBorder="1" applyAlignment="1">
      <alignment wrapText="1"/>
    </xf>
    <xf numFmtId="0" fontId="0" fillId="0" borderId="0" xfId="0" applyFont="1" applyFill="1" applyBorder="1" applyAlignment="1">
      <alignment wrapText="1"/>
    </xf>
    <xf numFmtId="166" fontId="0" fillId="0" borderId="0" xfId="1" applyFont="1" applyBorder="1"/>
    <xf numFmtId="166" fontId="0" fillId="7" borderId="0" xfId="1" applyFont="1" applyFill="1" applyBorder="1"/>
    <xf numFmtId="166" fontId="0" fillId="0" borderId="0" xfId="1" applyFont="1" applyFill="1" applyBorder="1"/>
    <xf numFmtId="0" fontId="0" fillId="0" borderId="42" xfId="0" applyFont="1" applyBorder="1" applyAlignment="1">
      <alignment wrapText="1"/>
    </xf>
    <xf numFmtId="166" fontId="0" fillId="0" borderId="42" xfId="1" applyFont="1" applyBorder="1"/>
    <xf numFmtId="0" fontId="0" fillId="0" borderId="41" xfId="0" applyFont="1" applyBorder="1" applyAlignment="1">
      <alignment wrapText="1"/>
    </xf>
    <xf numFmtId="166" fontId="0" fillId="0" borderId="41" xfId="1" applyFont="1" applyBorder="1"/>
    <xf numFmtId="171" fontId="0" fillId="0" borderId="41" xfId="5" applyNumberFormat="1" applyFont="1" applyBorder="1"/>
    <xf numFmtId="0" fontId="0" fillId="0" borderId="42" xfId="0" applyFont="1" applyFill="1" applyBorder="1" applyAlignment="1">
      <alignment wrapText="1"/>
    </xf>
    <xf numFmtId="166" fontId="0" fillId="0" borderId="42" xfId="1" applyFont="1" applyFill="1" applyBorder="1"/>
    <xf numFmtId="0" fontId="12" fillId="0" borderId="53" xfId="0" applyFont="1" applyFill="1" applyBorder="1"/>
    <xf numFmtId="0" fontId="12" fillId="0" borderId="71" xfId="0" applyFont="1" applyBorder="1" applyAlignment="1">
      <alignment wrapText="1"/>
    </xf>
    <xf numFmtId="0" fontId="0" fillId="0" borderId="71" xfId="0" applyBorder="1"/>
    <xf numFmtId="0" fontId="0" fillId="0" borderId="72" xfId="0" applyBorder="1"/>
    <xf numFmtId="166" fontId="0" fillId="0" borderId="74" xfId="1" applyFont="1" applyBorder="1"/>
    <xf numFmtId="166" fontId="0" fillId="0" borderId="63" xfId="1" applyFont="1" applyBorder="1"/>
    <xf numFmtId="166" fontId="0" fillId="7" borderId="63" xfId="1" applyFont="1" applyFill="1" applyBorder="1"/>
    <xf numFmtId="166" fontId="0" fillId="0" borderId="77" xfId="1" applyFont="1" applyBorder="1"/>
    <xf numFmtId="166" fontId="0" fillId="0" borderId="74" xfId="1" applyFont="1" applyFill="1" applyBorder="1"/>
    <xf numFmtId="166" fontId="0" fillId="0" borderId="63" xfId="1" applyFont="1" applyFill="1" applyBorder="1"/>
    <xf numFmtId="0" fontId="0" fillId="0" borderId="65" xfId="0" applyFont="1" applyBorder="1" applyAlignment="1">
      <alignment wrapText="1"/>
    </xf>
    <xf numFmtId="166" fontId="0" fillId="0" borderId="65" xfId="1" applyFont="1" applyBorder="1"/>
    <xf numFmtId="166" fontId="0" fillId="0" borderId="59" xfId="1" applyFont="1" applyBorder="1"/>
    <xf numFmtId="10" fontId="23" fillId="7" borderId="0" xfId="30" applyNumberFormat="1" applyFont="1" applyFill="1" applyBorder="1"/>
    <xf numFmtId="0" fontId="26" fillId="0" borderId="60" xfId="0" applyFont="1" applyBorder="1"/>
    <xf numFmtId="0" fontId="0" fillId="0" borderId="62" xfId="0" applyBorder="1"/>
    <xf numFmtId="10" fontId="23" fillId="7" borderId="63" xfId="30" applyNumberFormat="1" applyFont="1" applyFill="1" applyBorder="1"/>
    <xf numFmtId="0" fontId="0" fillId="0" borderId="58" xfId="0" applyBorder="1"/>
    <xf numFmtId="2" fontId="12" fillId="7" borderId="65" xfId="31" applyNumberFormat="1" applyFont="1" applyFill="1" applyBorder="1"/>
    <xf numFmtId="2" fontId="12" fillId="7" borderId="59" xfId="31" applyNumberFormat="1" applyFont="1" applyFill="1" applyBorder="1"/>
    <xf numFmtId="0" fontId="26" fillId="0" borderId="64" xfId="0" applyFont="1" applyBorder="1" applyAlignment="1">
      <alignment horizontal="left"/>
    </xf>
    <xf numFmtId="0" fontId="26" fillId="0" borderId="61" xfId="0" applyFont="1" applyBorder="1" applyAlignment="1">
      <alignment horizontal="left"/>
    </xf>
    <xf numFmtId="0" fontId="0" fillId="7" borderId="15" xfId="0" applyFill="1" applyBorder="1" applyAlignment="1">
      <alignment horizontal="center"/>
    </xf>
    <xf numFmtId="0" fontId="23" fillId="7" borderId="9" xfId="30" applyNumberFormat="1" applyFont="1" applyFill="1" applyBorder="1"/>
    <xf numFmtId="0" fontId="23" fillId="7" borderId="26" xfId="30" applyFont="1" applyFill="1" applyBorder="1" applyAlignment="1">
      <alignment horizontal="center"/>
    </xf>
    <xf numFmtId="0" fontId="41" fillId="0" borderId="27" xfId="0" applyFont="1" applyBorder="1"/>
    <xf numFmtId="4" fontId="10" fillId="0" borderId="0" xfId="0" applyNumberFormat="1" applyFont="1"/>
    <xf numFmtId="0" fontId="0" fillId="0" borderId="0" xfId="0" applyAlignment="1">
      <alignment vertical="center"/>
    </xf>
    <xf numFmtId="0" fontId="0" fillId="0" borderId="79" xfId="0" applyBorder="1" applyAlignment="1">
      <alignment vertical="center"/>
    </xf>
    <xf numFmtId="0" fontId="0" fillId="7" borderId="80" xfId="0" applyFill="1" applyBorder="1" applyAlignment="1">
      <alignment vertical="center"/>
    </xf>
    <xf numFmtId="0" fontId="0" fillId="0" borderId="81" xfId="0" applyBorder="1" applyAlignment="1">
      <alignment vertical="center" wrapText="1"/>
    </xf>
    <xf numFmtId="0" fontId="42" fillId="0" borderId="0" xfId="0" applyFont="1" applyAlignment="1">
      <alignment vertical="center"/>
    </xf>
    <xf numFmtId="0" fontId="0" fillId="8" borderId="0" xfId="0" applyFill="1"/>
    <xf numFmtId="0" fontId="2" fillId="8" borderId="0" xfId="0" applyFont="1" applyFill="1" applyBorder="1" applyAlignment="1"/>
    <xf numFmtId="167" fontId="36" fillId="0" borderId="0" xfId="32" applyNumberFormat="1" applyFont="1" applyFill="1" applyBorder="1" applyAlignment="1">
      <alignment horizontal="right"/>
    </xf>
    <xf numFmtId="2" fontId="3" fillId="0" borderId="70" xfId="0" applyNumberFormat="1" applyFont="1" applyFill="1" applyBorder="1" applyAlignment="1">
      <alignment horizontal="center"/>
    </xf>
    <xf numFmtId="0" fontId="3" fillId="0" borderId="70" xfId="0" applyFont="1" applyFill="1" applyBorder="1" applyAlignment="1">
      <alignment horizontal="center"/>
    </xf>
    <xf numFmtId="0" fontId="0" fillId="0" borderId="64" xfId="0" applyBorder="1"/>
    <xf numFmtId="0" fontId="0" fillId="0" borderId="61" xfId="0" applyBorder="1"/>
    <xf numFmtId="0" fontId="39" fillId="0" borderId="83" xfId="0" applyFont="1" applyFill="1" applyBorder="1"/>
    <xf numFmtId="2" fontId="39" fillId="0" borderId="84" xfId="0" applyNumberFormat="1" applyFont="1" applyFill="1" applyBorder="1" applyAlignment="1">
      <alignment horizontal="center"/>
    </xf>
    <xf numFmtId="0" fontId="39" fillId="0" borderId="84" xfId="0" applyFont="1" applyFill="1" applyBorder="1" applyAlignment="1">
      <alignment horizontal="center"/>
    </xf>
    <xf numFmtId="0" fontId="39" fillId="0" borderId="85" xfId="0" applyFont="1" applyFill="1" applyBorder="1" applyAlignment="1">
      <alignment horizontal="center"/>
    </xf>
    <xf numFmtId="167" fontId="0" fillId="0" borderId="52" xfId="32" applyNumberFormat="1" applyFont="1" applyFill="1" applyBorder="1" applyAlignment="1">
      <alignment horizontal="right"/>
    </xf>
    <xf numFmtId="167" fontId="12" fillId="0" borderId="52" xfId="31" applyNumberFormat="1" applyFont="1" applyFill="1" applyBorder="1" applyAlignment="1">
      <alignment horizontal="right"/>
    </xf>
    <xf numFmtId="167" fontId="12" fillId="0" borderId="84" xfId="31" applyNumberFormat="1" applyFont="1" applyFill="1" applyBorder="1" applyAlignment="1">
      <alignment horizontal="right"/>
    </xf>
    <xf numFmtId="9" fontId="39" fillId="0" borderId="85" xfId="5" applyNumberFormat="1" applyFont="1" applyFill="1" applyBorder="1" applyAlignment="1">
      <alignment horizontal="center"/>
    </xf>
    <xf numFmtId="167" fontId="0" fillId="9" borderId="70" xfId="32" applyNumberFormat="1" applyFont="1" applyFill="1" applyBorder="1" applyAlignment="1">
      <alignment horizontal="right"/>
    </xf>
    <xf numFmtId="167" fontId="0" fillId="9" borderId="52" xfId="32" applyNumberFormat="1" applyFont="1" applyFill="1" applyBorder="1" applyAlignment="1">
      <alignment horizontal="right"/>
    </xf>
    <xf numFmtId="167" fontId="0" fillId="9" borderId="69" xfId="32" applyNumberFormat="1" applyFont="1" applyFill="1" applyBorder="1" applyAlignment="1">
      <alignment horizontal="right"/>
    </xf>
    <xf numFmtId="0" fontId="0" fillId="7" borderId="41" xfId="0" applyFont="1" applyFill="1" applyBorder="1" applyAlignment="1">
      <alignment wrapText="1"/>
    </xf>
    <xf numFmtId="166" fontId="0" fillId="7" borderId="41" xfId="1" applyFont="1" applyFill="1" applyBorder="1"/>
    <xf numFmtId="0" fontId="39" fillId="0" borderId="79" xfId="0" applyFont="1" applyFill="1" applyBorder="1"/>
    <xf numFmtId="167" fontId="12" fillId="0" borderId="80" xfId="31" applyNumberFormat="1" applyFont="1" applyFill="1" applyBorder="1" applyAlignment="1">
      <alignment horizontal="right"/>
    </xf>
    <xf numFmtId="167" fontId="12" fillId="0" borderId="81" xfId="31" applyNumberFormat="1" applyFont="1" applyFill="1" applyBorder="1" applyAlignment="1">
      <alignment horizontal="right"/>
    </xf>
    <xf numFmtId="167" fontId="36" fillId="9" borderId="0" xfId="32" applyNumberFormat="1" applyFont="1" applyFill="1" applyBorder="1" applyAlignment="1">
      <alignment horizontal="right"/>
    </xf>
    <xf numFmtId="0" fontId="38" fillId="0" borderId="62" xfId="2" applyFont="1" applyFill="1" applyBorder="1"/>
    <xf numFmtId="167" fontId="36" fillId="0" borderId="63" xfId="32" applyNumberFormat="1" applyFont="1" applyFill="1" applyBorder="1" applyAlignment="1">
      <alignment horizontal="right"/>
    </xf>
    <xf numFmtId="0" fontId="38" fillId="9" borderId="62" xfId="2" applyFont="1" applyFill="1" applyBorder="1"/>
    <xf numFmtId="167" fontId="36" fillId="9" borderId="63" xfId="32" applyNumberFormat="1" applyFont="1" applyFill="1" applyBorder="1" applyAlignment="1">
      <alignment horizontal="right"/>
    </xf>
    <xf numFmtId="0" fontId="3" fillId="0" borderId="79" xfId="0" applyFont="1" applyFill="1" applyBorder="1" applyAlignment="1">
      <alignment horizontal="left"/>
    </xf>
    <xf numFmtId="2" fontId="3" fillId="0" borderId="80" xfId="0" applyNumberFormat="1" applyFont="1" applyFill="1" applyBorder="1" applyAlignment="1">
      <alignment horizontal="center"/>
    </xf>
    <xf numFmtId="0" fontId="3" fillId="0" borderId="81" xfId="0" applyFont="1" applyFill="1" applyBorder="1" applyAlignment="1">
      <alignment horizontal="center"/>
    </xf>
    <xf numFmtId="4" fontId="36" fillId="0" borderId="0" xfId="32" applyNumberFormat="1" applyFont="1" applyFill="1" applyBorder="1"/>
    <xf numFmtId="1" fontId="18" fillId="7" borderId="52" xfId="30" applyNumberFormat="1" applyFill="1" applyBorder="1"/>
    <xf numFmtId="0" fontId="18" fillId="7" borderId="52" xfId="30" applyFill="1" applyBorder="1" applyAlignment="1">
      <alignment horizontal="right"/>
    </xf>
    <xf numFmtId="167" fontId="29" fillId="7" borderId="52" xfId="30" applyNumberFormat="1" applyFont="1" applyFill="1" applyBorder="1" applyAlignment="1">
      <alignment horizontal="right"/>
    </xf>
    <xf numFmtId="167" fontId="43" fillId="0" borderId="52" xfId="0" applyNumberFormat="1" applyFont="1" applyFill="1" applyBorder="1" applyAlignment="1">
      <alignment horizontal="right"/>
    </xf>
    <xf numFmtId="2" fontId="36" fillId="0" borderId="52" xfId="32" applyNumberFormat="1" applyFont="1" applyFill="1" applyBorder="1"/>
    <xf numFmtId="4" fontId="36" fillId="0" borderId="52" xfId="32" applyNumberFormat="1" applyFont="1" applyFill="1" applyBorder="1" applyAlignment="1">
      <alignment horizontal="right"/>
    </xf>
    <xf numFmtId="167" fontId="36" fillId="0" borderId="52" xfId="31" applyNumberFormat="1" applyFont="1" applyFill="1" applyBorder="1" applyAlignment="1">
      <alignment horizontal="right"/>
    </xf>
    <xf numFmtId="4" fontId="36" fillId="0" borderId="52" xfId="31" applyNumberFormat="1" applyFont="1" applyFill="1" applyBorder="1" applyAlignment="1">
      <alignment horizontal="right"/>
    </xf>
    <xf numFmtId="167" fontId="2" fillId="0" borderId="1" xfId="0" applyNumberFormat="1" applyFont="1" applyFill="1" applyBorder="1"/>
    <xf numFmtId="167" fontId="0" fillId="0" borderId="1" xfId="0" applyNumberFormat="1" applyFill="1" applyBorder="1"/>
    <xf numFmtId="4" fontId="0" fillId="0" borderId="1" xfId="0" applyNumberFormat="1" applyFill="1" applyBorder="1"/>
    <xf numFmtId="2" fontId="2" fillId="0" borderId="1" xfId="0" applyNumberFormat="1" applyFont="1" applyFill="1" applyBorder="1"/>
    <xf numFmtId="0" fontId="26" fillId="0" borderId="60" xfId="0" applyFont="1" applyFill="1" applyBorder="1"/>
    <xf numFmtId="0" fontId="0" fillId="0" borderId="62" xfId="0" applyFill="1" applyBorder="1"/>
    <xf numFmtId="0" fontId="18" fillId="7" borderId="88" xfId="30" applyFill="1" applyBorder="1"/>
    <xf numFmtId="0" fontId="0" fillId="7" borderId="63" xfId="0" applyFill="1" applyBorder="1"/>
    <xf numFmtId="0" fontId="0" fillId="0" borderId="58" xfId="0" applyFill="1" applyBorder="1"/>
    <xf numFmtId="3" fontId="18" fillId="7" borderId="89" xfId="30" applyNumberFormat="1" applyFill="1" applyBorder="1"/>
    <xf numFmtId="0" fontId="12" fillId="0" borderId="50" xfId="0" applyFont="1" applyFill="1" applyBorder="1" applyAlignment="1">
      <alignment horizontal="center"/>
    </xf>
    <xf numFmtId="0" fontId="12" fillId="0" borderId="51" xfId="0" applyFont="1" applyFill="1" applyBorder="1" applyAlignment="1">
      <alignment horizontal="center"/>
    </xf>
    <xf numFmtId="0" fontId="0" fillId="0" borderId="44" xfId="0" applyFill="1" applyBorder="1"/>
    <xf numFmtId="167" fontId="0" fillId="0" borderId="45" xfId="1" applyNumberFormat="1" applyFont="1" applyFill="1" applyBorder="1"/>
    <xf numFmtId="0" fontId="0" fillId="0" borderId="46" xfId="0" applyFill="1" applyBorder="1"/>
    <xf numFmtId="167" fontId="12" fillId="0" borderId="47" xfId="1" applyNumberFormat="1" applyFont="1" applyFill="1" applyBorder="1"/>
    <xf numFmtId="170" fontId="36" fillId="0" borderId="63" xfId="32" applyNumberFormat="1" applyFont="1" applyFill="1" applyBorder="1"/>
    <xf numFmtId="167" fontId="36" fillId="0" borderId="63" xfId="31" applyNumberFormat="1" applyFont="1" applyFill="1" applyBorder="1"/>
    <xf numFmtId="2" fontId="16" fillId="0" borderId="0" xfId="0" applyNumberFormat="1" applyFont="1" applyFill="1" applyBorder="1"/>
    <xf numFmtId="0" fontId="12" fillId="0" borderId="58" xfId="0" applyFont="1" applyFill="1" applyBorder="1" applyAlignment="1">
      <alignment horizontal="left"/>
    </xf>
    <xf numFmtId="0" fontId="2" fillId="0" borderId="62" xfId="0" applyFont="1" applyFill="1" applyBorder="1"/>
    <xf numFmtId="0" fontId="12" fillId="0" borderId="62" xfId="0" applyFont="1" applyFill="1" applyBorder="1" applyAlignment="1">
      <alignment horizontal="left"/>
    </xf>
    <xf numFmtId="167" fontId="12" fillId="0" borderId="63" xfId="31" applyNumberFormat="1" applyFont="1" applyFill="1" applyBorder="1"/>
    <xf numFmtId="167" fontId="12" fillId="0" borderId="59" xfId="0" applyNumberFormat="1" applyFont="1" applyBorder="1"/>
    <xf numFmtId="2" fontId="9" fillId="0" borderId="60" xfId="4" applyNumberFormat="1" applyFill="1" applyBorder="1" applyAlignment="1">
      <alignment horizontal="left"/>
    </xf>
    <xf numFmtId="2" fontId="9" fillId="0" borderId="64" xfId="4" applyNumberFormat="1" applyFill="1" applyBorder="1" applyAlignment="1">
      <alignment horizontal="left"/>
    </xf>
    <xf numFmtId="2" fontId="9" fillId="0" borderId="61" xfId="4" applyNumberFormat="1" applyFill="1" applyBorder="1" applyAlignment="1">
      <alignment horizontal="left"/>
    </xf>
    <xf numFmtId="0" fontId="38" fillId="9" borderId="76" xfId="2" applyFont="1" applyFill="1" applyBorder="1"/>
    <xf numFmtId="0" fontId="38" fillId="0" borderId="54" xfId="2" applyFont="1" applyFill="1" applyBorder="1" applyAlignment="1">
      <alignment horizontal="left"/>
    </xf>
    <xf numFmtId="0" fontId="38" fillId="9" borderId="54" xfId="2" applyFont="1" applyFill="1" applyBorder="1"/>
    <xf numFmtId="0" fontId="38" fillId="0" borderId="54" xfId="2" applyFont="1" applyFill="1" applyBorder="1"/>
    <xf numFmtId="0" fontId="38" fillId="9" borderId="73" xfId="2" applyFont="1" applyFill="1" applyBorder="1"/>
    <xf numFmtId="0" fontId="3" fillId="0" borderId="62" xfId="0" applyFont="1" applyFill="1" applyBorder="1" applyAlignment="1">
      <alignment horizontal="center"/>
    </xf>
    <xf numFmtId="0" fontId="3" fillId="0" borderId="63" xfId="0" applyFont="1" applyFill="1" applyBorder="1" applyAlignment="1">
      <alignment horizontal="center"/>
    </xf>
    <xf numFmtId="167" fontId="2" fillId="0" borderId="63" xfId="0" applyNumberFormat="1" applyFont="1" applyFill="1" applyBorder="1" applyAlignment="1">
      <alignment horizontal="right"/>
    </xf>
    <xf numFmtId="0" fontId="3" fillId="0" borderId="79" xfId="0" applyFont="1" applyFill="1" applyBorder="1" applyAlignment="1">
      <alignment horizontal="right"/>
    </xf>
    <xf numFmtId="0" fontId="3" fillId="0" borderId="80" xfId="0" applyFont="1" applyFill="1" applyBorder="1" applyAlignment="1">
      <alignment horizontal="right"/>
    </xf>
    <xf numFmtId="167" fontId="3" fillId="0" borderId="81" xfId="0" applyNumberFormat="1" applyFont="1" applyFill="1" applyBorder="1" applyAlignment="1">
      <alignment horizontal="right"/>
    </xf>
    <xf numFmtId="0" fontId="2" fillId="0" borderId="61" xfId="0" applyFont="1" applyFill="1" applyBorder="1"/>
    <xf numFmtId="0" fontId="3" fillId="0" borderId="76" xfId="0" applyFont="1" applyFill="1" applyBorder="1" applyAlignment="1">
      <alignment horizontal="center"/>
    </xf>
    <xf numFmtId="0" fontId="3" fillId="0" borderId="86" xfId="0" applyFont="1" applyFill="1" applyBorder="1" applyAlignment="1">
      <alignment horizontal="center"/>
    </xf>
    <xf numFmtId="0" fontId="2" fillId="0" borderId="54" xfId="0" applyFont="1" applyFill="1" applyBorder="1"/>
    <xf numFmtId="0" fontId="12" fillId="7" borderId="55" xfId="31" applyFont="1" applyFill="1" applyBorder="1"/>
    <xf numFmtId="0" fontId="3" fillId="0" borderId="54" xfId="0" applyFont="1" applyFill="1" applyBorder="1"/>
    <xf numFmtId="167" fontId="2" fillId="7" borderId="55" xfId="0" applyNumberFormat="1" applyFont="1" applyFill="1" applyBorder="1" applyAlignment="1">
      <alignment horizontal="right"/>
    </xf>
    <xf numFmtId="0" fontId="2" fillId="0" borderId="54" xfId="2" applyFont="1" applyFill="1" applyBorder="1"/>
    <xf numFmtId="0" fontId="5" fillId="0" borderId="54" xfId="0" applyFont="1" applyBorder="1"/>
    <xf numFmtId="167" fontId="43" fillId="0" borderId="55" xfId="0" applyNumberFormat="1" applyFont="1" applyFill="1" applyBorder="1" applyAlignment="1">
      <alignment horizontal="right"/>
    </xf>
    <xf numFmtId="0" fontId="3" fillId="0" borderId="54" xfId="2" applyFont="1" applyFill="1" applyBorder="1"/>
    <xf numFmtId="4" fontId="36" fillId="0" borderId="55" xfId="32" applyNumberFormat="1" applyFont="1" applyFill="1" applyBorder="1"/>
    <xf numFmtId="4" fontId="36" fillId="0" borderId="55" xfId="31" applyNumberFormat="1" applyFont="1" applyFill="1" applyBorder="1" applyAlignment="1">
      <alignment horizontal="right"/>
    </xf>
    <xf numFmtId="0" fontId="2" fillId="0" borderId="56" xfId="0" applyFont="1" applyFill="1" applyBorder="1"/>
    <xf numFmtId="4" fontId="36" fillId="0" borderId="82" xfId="31" applyNumberFormat="1" applyFont="1" applyFill="1" applyBorder="1" applyAlignment="1">
      <alignment horizontal="right"/>
    </xf>
    <xf numFmtId="4" fontId="36" fillId="0" borderId="57" xfId="31" applyNumberFormat="1" applyFont="1" applyFill="1" applyBorder="1" applyAlignment="1">
      <alignment horizontal="right"/>
    </xf>
    <xf numFmtId="0" fontId="9" fillId="0" borderId="60" xfId="4" applyFill="1" applyBorder="1" applyAlignment="1">
      <alignment horizontal="left"/>
    </xf>
    <xf numFmtId="0" fontId="9" fillId="0" borderId="64" xfId="4" applyFill="1" applyBorder="1" applyAlignment="1">
      <alignment horizontal="left"/>
    </xf>
    <xf numFmtId="0" fontId="9" fillId="0" borderId="61" xfId="4" applyFill="1" applyBorder="1" applyAlignment="1">
      <alignment horizontal="left"/>
    </xf>
    <xf numFmtId="167" fontId="2" fillId="0" borderId="45" xfId="0" applyNumberFormat="1" applyFont="1" applyFill="1" applyBorder="1" applyAlignment="1">
      <alignment horizontal="right"/>
    </xf>
    <xf numFmtId="167" fontId="2" fillId="0" borderId="47" xfId="0" applyNumberFormat="1" applyFont="1" applyFill="1" applyBorder="1" applyAlignment="1">
      <alignment horizontal="right"/>
    </xf>
    <xf numFmtId="0" fontId="0" fillId="0" borderId="93" xfId="0" applyBorder="1"/>
    <xf numFmtId="0" fontId="2" fillId="0" borderId="43" xfId="0" applyFont="1" applyFill="1" applyBorder="1" applyAlignment="1">
      <alignment horizontal="center"/>
    </xf>
    <xf numFmtId="0" fontId="12" fillId="0" borderId="44" xfId="0" applyFont="1" applyBorder="1"/>
    <xf numFmtId="0" fontId="3" fillId="0" borderId="45" xfId="0" applyFont="1" applyFill="1" applyBorder="1" applyAlignment="1">
      <alignment horizontal="center"/>
    </xf>
    <xf numFmtId="167" fontId="2" fillId="0" borderId="45" xfId="0" applyNumberFormat="1" applyFont="1" applyFill="1" applyBorder="1" applyAlignment="1">
      <alignment horizontal="center"/>
    </xf>
    <xf numFmtId="167" fontId="2" fillId="0" borderId="45" xfId="0" applyNumberFormat="1" applyFont="1" applyFill="1" applyBorder="1"/>
    <xf numFmtId="4" fontId="2" fillId="0" borderId="45" xfId="0" applyNumberFormat="1" applyFont="1" applyFill="1" applyBorder="1"/>
    <xf numFmtId="4" fontId="0" fillId="0" borderId="45" xfId="0" applyNumberFormat="1" applyFill="1" applyBorder="1"/>
    <xf numFmtId="0" fontId="2" fillId="0" borderId="44" xfId="0" applyFont="1" applyFill="1" applyBorder="1"/>
    <xf numFmtId="4" fontId="2" fillId="0" borderId="94" xfId="0" applyNumberFormat="1" applyFont="1" applyFill="1" applyBorder="1"/>
    <xf numFmtId="4" fontId="2" fillId="0" borderId="47" xfId="0" applyNumberFormat="1" applyFont="1" applyFill="1" applyBorder="1"/>
    <xf numFmtId="4" fontId="0" fillId="0" borderId="6" xfId="0" applyNumberFormat="1" applyFill="1" applyBorder="1"/>
    <xf numFmtId="4" fontId="0" fillId="0" borderId="8" xfId="0" applyNumberFormat="1" applyFill="1" applyBorder="1"/>
    <xf numFmtId="0" fontId="39" fillId="0" borderId="0" xfId="0" applyFont="1" applyBorder="1" applyAlignment="1">
      <alignment horizontal="center"/>
    </xf>
    <xf numFmtId="0" fontId="0" fillId="0" borderId="0" xfId="32" applyFont="1" applyBorder="1"/>
    <xf numFmtId="0" fontId="4" fillId="0" borderId="60" xfId="0" applyFont="1" applyBorder="1"/>
    <xf numFmtId="0" fontId="39" fillId="0" borderId="62" xfId="0" applyFont="1" applyBorder="1"/>
    <xf numFmtId="0" fontId="39" fillId="0" borderId="63" xfId="0" applyFont="1" applyBorder="1" applyAlignment="1">
      <alignment horizontal="center"/>
    </xf>
    <xf numFmtId="0" fontId="43" fillId="0" borderId="62" xfId="0" applyFont="1" applyBorder="1"/>
    <xf numFmtId="0" fontId="12" fillId="6" borderId="63" xfId="31" applyFont="1" applyBorder="1"/>
    <xf numFmtId="0" fontId="43" fillId="0" borderId="58" xfId="0" applyFont="1" applyBorder="1"/>
    <xf numFmtId="0" fontId="0" fillId="0" borderId="65" xfId="32" applyFont="1" applyBorder="1"/>
    <xf numFmtId="0" fontId="12" fillId="6" borderId="59" xfId="31" applyFont="1" applyBorder="1"/>
    <xf numFmtId="0" fontId="12" fillId="7" borderId="22" xfId="31" applyFont="1" applyFill="1" applyBorder="1"/>
    <xf numFmtId="0" fontId="12" fillId="7" borderId="15" xfId="31" applyFont="1" applyFill="1" applyBorder="1"/>
    <xf numFmtId="0" fontId="36" fillId="7" borderId="15" xfId="30" applyFont="1" applyFill="1" applyBorder="1"/>
    <xf numFmtId="0" fontId="12" fillId="7" borderId="15" xfId="30" applyFont="1" applyFill="1" applyBorder="1"/>
    <xf numFmtId="0" fontId="12" fillId="6" borderId="15" xfId="31" applyFont="1" applyBorder="1"/>
    <xf numFmtId="0" fontId="12" fillId="0" borderId="18" xfId="32" applyFont="1" applyBorder="1"/>
    <xf numFmtId="9" fontId="0" fillId="0" borderId="0" xfId="5" applyFont="1"/>
    <xf numFmtId="9" fontId="2" fillId="0" borderId="0" xfId="0" applyNumberFormat="1" applyFont="1" applyFill="1" applyBorder="1" applyAlignment="1">
      <alignment horizontal="right"/>
    </xf>
    <xf numFmtId="2" fontId="2" fillId="0" borderId="62" xfId="0" applyNumberFormat="1" applyFont="1" applyFill="1" applyBorder="1" applyAlignment="1">
      <alignment horizontal="left" indent="2"/>
    </xf>
    <xf numFmtId="0" fontId="2" fillId="0" borderId="62" xfId="0" applyFont="1" applyFill="1" applyBorder="1" applyAlignment="1">
      <alignment horizontal="left" indent="2"/>
    </xf>
    <xf numFmtId="167" fontId="12" fillId="0" borderId="55" xfId="32" applyNumberFormat="1" applyFont="1" applyFill="1" applyBorder="1" applyAlignment="1">
      <alignment horizontal="right"/>
    </xf>
    <xf numFmtId="4" fontId="12" fillId="0" borderId="52" xfId="32" applyNumberFormat="1" applyFont="1" applyFill="1" applyBorder="1" applyAlignment="1">
      <alignment horizontal="right"/>
    </xf>
    <xf numFmtId="4" fontId="12" fillId="0" borderId="55" xfId="31" applyNumberFormat="1" applyFont="1" applyFill="1" applyBorder="1" applyAlignment="1">
      <alignment horizontal="right"/>
    </xf>
    <xf numFmtId="0" fontId="5" fillId="0" borderId="62" xfId="0" applyFont="1" applyFill="1" applyBorder="1" applyAlignment="1">
      <alignment horizontal="left" wrapText="1" indent="2"/>
    </xf>
    <xf numFmtId="9" fontId="38" fillId="9" borderId="86" xfId="5" applyNumberFormat="1" applyFont="1" applyFill="1" applyBorder="1" applyAlignment="1">
      <alignment horizontal="center"/>
    </xf>
    <xf numFmtId="9" fontId="38" fillId="0" borderId="55" xfId="5" applyNumberFormat="1" applyFont="1" applyFill="1" applyBorder="1" applyAlignment="1">
      <alignment horizontal="center"/>
    </xf>
    <xf numFmtId="9" fontId="38" fillId="9" borderId="55" xfId="5" applyNumberFormat="1" applyFont="1" applyFill="1" applyBorder="1" applyAlignment="1">
      <alignment horizontal="center"/>
    </xf>
    <xf numFmtId="9" fontId="38" fillId="9" borderId="87" xfId="5" applyNumberFormat="1" applyFont="1" applyFill="1" applyBorder="1" applyAlignment="1">
      <alignment horizontal="center"/>
    </xf>
    <xf numFmtId="0" fontId="2" fillId="0" borderId="90" xfId="0" applyFont="1" applyFill="1" applyBorder="1" applyAlignment="1">
      <alignment horizontal="left"/>
    </xf>
    <xf numFmtId="0" fontId="0" fillId="0" borderId="91" xfId="0" applyBorder="1" applyAlignment="1"/>
    <xf numFmtId="0" fontId="0" fillId="0" borderId="92" xfId="0" applyBorder="1" applyAlignment="1"/>
    <xf numFmtId="0" fontId="15" fillId="0" borderId="0" xfId="3" applyFont="1" applyFill="1" applyBorder="1" applyAlignment="1">
      <alignment horizontal="center"/>
    </xf>
    <xf numFmtId="0" fontId="9" fillId="0" borderId="0" xfId="4" applyFill="1" applyBorder="1" applyAlignment="1">
      <alignment horizontal="left"/>
    </xf>
    <xf numFmtId="0" fontId="2" fillId="0" borderId="50" xfId="0" applyFont="1" applyFill="1" applyBorder="1" applyAlignment="1">
      <alignment horizontal="left"/>
    </xf>
    <xf numFmtId="0" fontId="0" fillId="0" borderId="3" xfId="0" applyBorder="1" applyAlignment="1"/>
    <xf numFmtId="0" fontId="0" fillId="0" borderId="2" xfId="0" applyBorder="1" applyAlignment="1"/>
    <xf numFmtId="0" fontId="12" fillId="0" borderId="11" xfId="0" applyFont="1" applyBorder="1" applyAlignment="1">
      <alignment horizontal="center"/>
    </xf>
    <xf numFmtId="0" fontId="12" fillId="0" borderId="13" xfId="0" applyFont="1" applyBorder="1" applyAlignment="1">
      <alignment horizontal="center"/>
    </xf>
    <xf numFmtId="0" fontId="12" fillId="0" borderId="0" xfId="0" applyFont="1" applyAlignment="1">
      <alignment horizontal="center"/>
    </xf>
    <xf numFmtId="0" fontId="22" fillId="0" borderId="11" xfId="0" applyFont="1" applyBorder="1" applyAlignment="1">
      <alignment horizontal="center"/>
    </xf>
    <xf numFmtId="0" fontId="22" fillId="0" borderId="13" xfId="0" applyFont="1" applyBorder="1" applyAlignment="1">
      <alignment horizontal="center"/>
    </xf>
    <xf numFmtId="0" fontId="24" fillId="0" borderId="11" xfId="0" applyFont="1" applyFill="1" applyBorder="1" applyAlignment="1">
      <alignment horizontal="center"/>
    </xf>
    <xf numFmtId="0" fontId="24" fillId="0" borderId="13" xfId="0" applyFont="1" applyFill="1" applyBorder="1" applyAlignment="1">
      <alignment horizontal="center"/>
    </xf>
    <xf numFmtId="0" fontId="12" fillId="0" borderId="48" xfId="0" applyFont="1" applyFill="1" applyBorder="1" applyAlignment="1">
      <alignment horizontal="center"/>
    </xf>
    <xf numFmtId="0" fontId="12" fillId="0" borderId="49" xfId="0" applyFont="1" applyFill="1" applyBorder="1" applyAlignment="1">
      <alignment horizontal="center"/>
    </xf>
    <xf numFmtId="0" fontId="3" fillId="0" borderId="60" xfId="0" applyFont="1" applyFill="1" applyBorder="1" applyAlignment="1">
      <alignment horizontal="center"/>
    </xf>
    <xf numFmtId="0" fontId="3" fillId="0" borderId="61" xfId="0" applyFont="1" applyFill="1" applyBorder="1" applyAlignment="1">
      <alignment horizontal="center"/>
    </xf>
    <xf numFmtId="0" fontId="4" fillId="0" borderId="79" xfId="0" applyFont="1" applyFill="1" applyBorder="1" applyAlignment="1">
      <alignment horizontal="center"/>
    </xf>
    <xf numFmtId="0" fontId="4" fillId="0" borderId="81" xfId="0" applyFont="1" applyFill="1" applyBorder="1" applyAlignment="1">
      <alignment horizontal="center"/>
    </xf>
    <xf numFmtId="0" fontId="0" fillId="0" borderId="73" xfId="0" applyFont="1" applyBorder="1" applyAlignment="1">
      <alignment horizontal="left" vertical="center" wrapText="1"/>
    </xf>
    <xf numFmtId="0" fontId="0" fillId="0" borderId="75" xfId="0" applyFont="1" applyBorder="1" applyAlignment="1">
      <alignment horizontal="left" vertical="center" wrapText="1"/>
    </xf>
    <xf numFmtId="0" fontId="0" fillId="0" borderId="78" xfId="0" applyFont="1" applyBorder="1" applyAlignment="1">
      <alignment horizontal="left" vertical="center" wrapText="1"/>
    </xf>
    <xf numFmtId="0" fontId="0" fillId="3" borderId="54" xfId="0" applyFont="1" applyFill="1" applyBorder="1" applyAlignment="1">
      <alignment horizontal="left" vertical="center" wrapText="1"/>
    </xf>
    <xf numFmtId="0" fontId="0" fillId="3" borderId="75" xfId="0" applyFont="1" applyFill="1" applyBorder="1" applyAlignment="1">
      <alignment horizontal="left" vertical="center" wrapText="1"/>
    </xf>
    <xf numFmtId="0" fontId="0" fillId="3" borderId="76" xfId="0" applyFont="1" applyFill="1" applyBorder="1" applyAlignment="1">
      <alignment horizontal="left" vertical="center" wrapText="1"/>
    </xf>
    <xf numFmtId="0" fontId="0" fillId="0" borderId="76" xfId="0" applyFont="1" applyBorder="1" applyAlignment="1">
      <alignment horizontal="left" vertical="center" wrapText="1"/>
    </xf>
    <xf numFmtId="0" fontId="12" fillId="0" borderId="31" xfId="0" applyFont="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2" fillId="0" borderId="60" xfId="0" applyFont="1" applyBorder="1" applyAlignment="1">
      <alignment horizontal="center"/>
    </xf>
    <xf numFmtId="0" fontId="12" fillId="0" borderId="64" xfId="0" applyFont="1" applyBorder="1" applyAlignment="1">
      <alignment horizontal="center"/>
    </xf>
    <xf numFmtId="0" fontId="12" fillId="0" borderId="61" xfId="0" applyFont="1" applyBorder="1" applyAlignment="1">
      <alignment horizontal="center"/>
    </xf>
    <xf numFmtId="0" fontId="12" fillId="0" borderId="60" xfId="0" applyFont="1" applyFill="1" applyBorder="1" applyAlignment="1">
      <alignment horizontal="center"/>
    </xf>
    <xf numFmtId="0" fontId="12" fillId="0" borderId="64" xfId="0" applyFont="1" applyFill="1" applyBorder="1" applyAlignment="1">
      <alignment horizontal="center"/>
    </xf>
    <xf numFmtId="0" fontId="12" fillId="0" borderId="66" xfId="0" applyFont="1" applyFill="1" applyBorder="1" applyAlignment="1">
      <alignment horizontal="center"/>
    </xf>
    <xf numFmtId="0" fontId="4" fillId="0" borderId="60" xfId="0" applyFont="1" applyFill="1" applyBorder="1" applyAlignment="1">
      <alignment horizontal="center"/>
    </xf>
    <xf numFmtId="0" fontId="4" fillId="0" borderId="61" xfId="0" applyFont="1" applyFill="1" applyBorder="1" applyAlignment="1">
      <alignment horizontal="center"/>
    </xf>
    <xf numFmtId="167" fontId="4" fillId="0" borderId="60" xfId="0" applyNumberFormat="1" applyFont="1" applyFill="1" applyBorder="1" applyAlignment="1">
      <alignment horizontal="center" vertical="center"/>
    </xf>
    <xf numFmtId="167" fontId="4" fillId="0" borderId="61" xfId="0" applyNumberFormat="1" applyFont="1" applyFill="1" applyBorder="1" applyAlignment="1">
      <alignment horizontal="center" vertical="center"/>
    </xf>
    <xf numFmtId="0" fontId="12" fillId="0" borderId="27" xfId="0" applyFont="1" applyBorder="1" applyAlignment="1">
      <alignment horizontal="center"/>
    </xf>
    <xf numFmtId="0" fontId="12" fillId="0" borderId="37" xfId="0" applyFont="1" applyBorder="1" applyAlignment="1">
      <alignment horizontal="center"/>
    </xf>
    <xf numFmtId="0" fontId="12" fillId="0" borderId="34" xfId="0" applyFont="1" applyBorder="1" applyAlignment="1">
      <alignment horizontal="center"/>
    </xf>
    <xf numFmtId="0" fontId="0" fillId="0" borderId="21"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0" fillId="0" borderId="0" xfId="0" applyFont="1" applyFill="1" applyAlignment="1">
      <alignment horizontal="center"/>
    </xf>
    <xf numFmtId="0" fontId="0" fillId="0" borderId="30" xfId="0" applyBorder="1" applyAlignment="1">
      <alignment horizontal="left"/>
    </xf>
    <xf numFmtId="0" fontId="0" fillId="0" borderId="2" xfId="0" applyBorder="1" applyAlignment="1">
      <alignment horizontal="left"/>
    </xf>
    <xf numFmtId="0" fontId="0" fillId="0" borderId="3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60" xfId="2" applyFont="1" applyFill="1" applyBorder="1" applyAlignment="1">
      <alignment horizontal="center"/>
    </xf>
    <xf numFmtId="0" fontId="4" fillId="0" borderId="61" xfId="2" applyFont="1" applyFill="1" applyBorder="1" applyAlignment="1">
      <alignment horizontal="center"/>
    </xf>
    <xf numFmtId="0" fontId="0" fillId="0" borderId="0" xfId="0" applyFont="1"/>
    <xf numFmtId="0" fontId="44" fillId="0" borderId="0" xfId="0" applyFont="1" applyFill="1" applyAlignment="1">
      <alignment horizontal="center"/>
    </xf>
    <xf numFmtId="44" fontId="0" fillId="0" borderId="0" xfId="0" applyNumberFormat="1" applyBorder="1"/>
    <xf numFmtId="0" fontId="0" fillId="7" borderId="16" xfId="0" applyFill="1" applyBorder="1" applyAlignment="1"/>
    <xf numFmtId="0" fontId="0" fillId="7" borderId="17" xfId="0" applyFill="1" applyBorder="1" applyAlignment="1"/>
    <xf numFmtId="44" fontId="0" fillId="7" borderId="17" xfId="0" applyNumberFormat="1" applyFill="1" applyBorder="1" applyAlignment="1"/>
    <xf numFmtId="44" fontId="12" fillId="7" borderId="18" xfId="0" applyNumberFormat="1" applyFont="1" applyFill="1" applyBorder="1" applyAlignment="1"/>
  </cellXfs>
  <cellStyles count="34">
    <cellStyle name="Bad" xfId="29" builtinId="27"/>
    <cellStyle name="Calculation" xfId="31" builtinId="22"/>
    <cellStyle name="Currency" xfId="1" builtinId="4"/>
    <cellStyle name="Followed Hyperlink" xfId="28" builtinId="9" hidden="1"/>
    <cellStyle name="Followed Hyperlink" xfId="12" builtinId="9" hidden="1"/>
    <cellStyle name="Followed Hyperlink" xfId="24" builtinId="9" hidden="1"/>
    <cellStyle name="Followed Hyperlink" xfId="10" builtinId="9" hidden="1"/>
    <cellStyle name="Followed Hyperlink" xfId="18" builtinId="9" hidden="1"/>
    <cellStyle name="Followed Hyperlink" xfId="14" builtinId="9" hidden="1"/>
    <cellStyle name="Followed Hyperlink" xfId="20" builtinId="9" hidden="1"/>
    <cellStyle name="Followed Hyperlink" xfId="16" builtinId="9" hidden="1"/>
    <cellStyle name="Followed Hyperlink" xfId="26" builtinId="9" hidden="1"/>
    <cellStyle name="Followed Hyperlink" xfId="22" builtinId="9" hidden="1"/>
    <cellStyle name="Followed Hyperlink" xfId="8" builtinId="9" hidden="1"/>
    <cellStyle name="Good" xfId="2" builtinId="26"/>
    <cellStyle name="Heading 1" xfId="3" builtinId="16"/>
    <cellStyle name="Heading 2" xfId="4" builtinId="17"/>
    <cellStyle name="Hyperlink" xfId="13" builtinId="8" hidden="1"/>
    <cellStyle name="Hyperlink" xfId="23" builtinId="8" hidden="1"/>
    <cellStyle name="Hyperlink" xfId="25" builtinId="8" hidden="1"/>
    <cellStyle name="Hyperlink" xfId="17" builtinId="8" hidden="1"/>
    <cellStyle name="Hyperlink" xfId="19" builtinId="8" hidden="1"/>
    <cellStyle name="Hyperlink" xfId="21" builtinId="8" hidden="1"/>
    <cellStyle name="Hyperlink" xfId="7" builtinId="8" hidden="1"/>
    <cellStyle name="Hyperlink" xfId="27" builtinId="8" hidden="1"/>
    <cellStyle name="Hyperlink" xfId="9" builtinId="8" hidden="1"/>
    <cellStyle name="Hyperlink" xfId="11" builtinId="8" hidden="1"/>
    <cellStyle name="Hyperlink" xfId="15" builtinId="8" hidden="1"/>
    <cellStyle name="Hyperlink" xfId="33" builtinId="8"/>
    <cellStyle name="Input" xfId="30" builtinId="20"/>
    <cellStyle name="Linked Cell" xfId="32" builtinId="24"/>
    <cellStyle name="Normal" xfId="0" builtinId="0"/>
    <cellStyle name="Percent" xfId="5" builtinId="5"/>
    <cellStyle name="Warning Text" xfId="6" builtinId="11"/>
  </cellStyles>
  <dxfs count="20">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border diagonalUp="0" diagonalDown="0">
        <left style="thin">
          <color theme="1"/>
        </left>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theme="1"/>
        </right>
        <top style="thin">
          <color theme="1"/>
        </top>
        <bottom style="thin">
          <color theme="1"/>
        </bottom>
        <vertical style="thin">
          <color theme="1"/>
        </vertical>
        <horizontal style="thin">
          <color theme="1"/>
        </horizontal>
      </border>
    </dxf>
    <dxf>
      <border>
        <top style="thin">
          <color theme="1"/>
        </top>
      </border>
    </dxf>
    <dxf>
      <border diagonalUp="0" diagonalDown="0">
        <left style="thin">
          <color theme="1"/>
        </left>
        <right style="thin">
          <color theme="1"/>
        </right>
        <top style="thin">
          <color theme="1"/>
        </top>
        <bottom style="thin">
          <color theme="1"/>
        </bottom>
      </border>
    </dxf>
    <dxf>
      <border>
        <bottom style="thin">
          <color theme="1"/>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relativeIndent="0" justifyLastLine="0" shrinkToFit="0" readingOrder="0"/>
      <border diagonalUp="0" diagonalDown="0">
        <left style="thin">
          <color theme="1"/>
        </left>
        <right style="thin">
          <color theme="1"/>
        </right>
        <top/>
        <bottom/>
        <vertical style="thin">
          <color theme="1"/>
        </vertical>
        <horizontal style="thin">
          <color theme="1"/>
        </horizontal>
      </border>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3" formatCode="0%"/>
      <fill>
        <patternFill patternType="none">
          <fgColor indexed="64"/>
          <bgColor auto="1"/>
        </patternFill>
      </fill>
      <alignment horizontal="center" vertical="bottom" textRotation="0" wrapText="0" relative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0"/>
        <color theme="1"/>
        <name val="Arial"/>
        <scheme val="none"/>
      </font>
      <numFmt numFmtId="167"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0"/>
        <color theme="1"/>
        <name val="Arial"/>
        <scheme val="none"/>
      </font>
      <numFmt numFmtId="167" formatCode="&quot;$&quot;#,##0.00"/>
      <fill>
        <patternFill patternType="none">
          <fgColor indexed="64"/>
          <bgColor auto="1"/>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border diagonalUp="0" diagonalDown="0">
        <left/>
        <right style="thin">
          <color theme="1"/>
        </right>
        <top style="thin">
          <color theme="1"/>
        </top>
        <bottom style="thin">
          <color theme="1"/>
        </bottom>
      </border>
    </dxf>
    <dxf>
      <border>
        <top style="thin">
          <color theme="1"/>
        </top>
      </border>
    </dxf>
    <dxf>
      <border diagonalUp="0" diagonalDown="0">
        <left style="medium">
          <color theme="1"/>
        </left>
        <right style="medium">
          <color theme="1"/>
        </right>
        <top style="medium">
          <color theme="1"/>
        </top>
        <bottom style="medium">
          <color theme="1"/>
        </bottom>
      </border>
    </dxf>
    <dxf>
      <font>
        <strike val="0"/>
        <outline val="0"/>
        <shadow val="0"/>
        <u val="none"/>
        <vertAlign val="baseline"/>
        <color theme="1"/>
      </font>
      <fill>
        <patternFill patternType="none">
          <fgColor indexed="64"/>
          <bgColor auto="1"/>
        </patternFill>
      </fill>
    </dxf>
    <dxf>
      <border>
        <bottom style="medium">
          <color theme="1"/>
        </bottom>
      </border>
    </dxf>
    <dxf>
      <font>
        <strike val="0"/>
        <outline val="0"/>
        <shadow val="0"/>
        <u val="none"/>
        <vertAlign val="baseline"/>
        <color theme="1"/>
      </font>
      <fill>
        <patternFill patternType="none">
          <fgColor indexed="64"/>
          <bgColor auto="1"/>
        </patternFill>
      </fill>
      <border diagonalUp="0" diagonalDown="0" outline="0">
        <left style="thin">
          <color theme="1"/>
        </left>
        <right style="thin">
          <color theme="1"/>
        </right>
        <top/>
        <bottom/>
      </border>
    </dxf>
  </dxfs>
  <tableStyles count="0" defaultTableStyle="TableStyleMedium2" defaultPivotStyle="PivotStyleLight16"/>
  <colors>
    <mruColors>
      <color rgb="FFD6F7EC"/>
      <color rgb="FFEC97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37" displayName="Table37" ref="A5:D16" totalsRowShown="0" headerRowDxfId="19" dataDxfId="17" headerRowBorderDxfId="18" tableBorderDxfId="16" totalsRowBorderDxfId="15">
  <autoFilter ref="A5:D16" xr:uid="{00000000-0009-0000-0100-000006000000}"/>
  <tableColumns count="4">
    <tableColumn id="1" xr3:uid="{00000000-0010-0000-0000-000001000000}" name="Item" dataDxfId="14" dataCellStyle="Good"/>
    <tableColumn id="2" xr3:uid="{00000000-0010-0000-0000-000002000000}" name="Monthly" dataDxfId="13" dataCellStyle="Good">
      <calculatedColumnFormula>Table37[[#This Row],[Annually]]/12</calculatedColumnFormula>
    </tableColumn>
    <tableColumn id="3" xr3:uid="{00000000-0010-0000-0000-000003000000}" name="Annually" dataDxfId="12" dataCellStyle="Good">
      <calculatedColumnFormula>'Family Expenses'!B56</calculatedColumnFormula>
    </tableColumn>
    <tableColumn id="4" xr3:uid="{00000000-0010-0000-0000-000004000000}" name="% of Total Annually" dataDxfId="11" dataCellStyle="Good">
      <calculatedColumnFormula>C6/C7</calculatedColumnFormula>
    </tableColumn>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48" displayName="Table48" ref="A19:C26" totalsRowShown="0">
  <autoFilter ref="A19:C26" xr:uid="{00000000-0009-0000-0100-000007000000}"/>
  <tableColumns count="3">
    <tableColumn id="1" xr3:uid="{00000000-0010-0000-0100-000001000000}" name="Income" dataDxfId="10" dataCellStyle="Good"/>
    <tableColumn id="2" xr3:uid="{00000000-0010-0000-0100-000002000000}" name="Monthly" dataDxfId="9" dataCellStyle="Good"/>
    <tableColumn id="3" xr3:uid="{00000000-0010-0000-0100-000003000000}" name="Annually" dataDxfId="8" dataCellStyle="Good"/>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59" displayName="Table59" ref="A35:D47" totalsRowShown="0" headerRowDxfId="7" headerRowBorderDxfId="6" tableBorderDxfId="5" totalsRowBorderDxfId="4">
  <autoFilter ref="A35:D47" xr:uid="{00000000-0009-0000-0100-000008000000}"/>
  <tableColumns count="4">
    <tableColumn id="1" xr3:uid="{00000000-0010-0000-0200-000001000000}" name="Column1" dataDxfId="3"/>
    <tableColumn id="2" xr3:uid="{00000000-0010-0000-0200-000002000000}" name="Parent 1" dataDxfId="2"/>
    <tableColumn id="3" xr3:uid="{00000000-0010-0000-0200-000003000000}" name="Parent 2" dataDxfId="1"/>
    <tableColumn id="4" xr3:uid="{00000000-0010-0000-0200-000004000000}" name="Total" dataDxfId="0">
      <calculatedColumnFormula>B36+C36</calculatedColumnFormula>
    </tableColumn>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canada.ca/en/revenue-agency/services/child-family-benefits/canada-child-benefit-overview/canada-child-benefit-ccb-calculation-sheet-july-2019-june-2020-payments-2018-tax-year.html" TargetMode="External"/><Relationship Id="rId1" Type="http://schemas.openxmlformats.org/officeDocument/2006/relationships/hyperlink" Target="https://www.canada.ca/en/revenue-agency/services/child-family-benefits/goods-services-tax-harmonized-sales-tax-gst-hst-credit/goods-services-tax-harmonized-sales-tax-credit-calculation-sheet-july-2019-june-2020-payments-2018-tax-year.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2"/>
  <sheetViews>
    <sheetView topLeftCell="A22" zoomScale="120" zoomScaleNormal="120" zoomScalePageLayoutView="120" workbookViewId="0">
      <selection activeCell="G20" sqref="G20"/>
    </sheetView>
  </sheetViews>
  <sheetFormatPr baseColWidth="10" defaultColWidth="8.83203125" defaultRowHeight="15"/>
  <cols>
    <col min="1" max="1" width="23.83203125" style="25" customWidth="1"/>
    <col min="2" max="2" width="13.5" style="25" customWidth="1"/>
    <col min="3" max="3" width="12.6640625" style="25" customWidth="1"/>
    <col min="4" max="4" width="18.6640625" style="25" customWidth="1"/>
    <col min="5" max="5" width="24.1640625" style="25" customWidth="1"/>
    <col min="6" max="6" width="20.5" style="25" customWidth="1"/>
    <col min="7" max="7" width="15.1640625" style="25" customWidth="1"/>
    <col min="8" max="8" width="17.6640625" style="25" customWidth="1"/>
    <col min="9" max="9" width="11.1640625" style="25" customWidth="1"/>
    <col min="10" max="10" width="11.83203125" style="25" customWidth="1"/>
    <col min="11" max="11" width="8.1640625" style="25" customWidth="1"/>
    <col min="12" max="12" width="11.6640625" style="25" customWidth="1"/>
    <col min="13" max="13" width="11" style="25" customWidth="1"/>
    <col min="14" max="14" width="11.1640625" style="25" customWidth="1"/>
    <col min="15" max="15" width="14.5" style="25" customWidth="1"/>
    <col min="16" max="16" width="10.5" style="25" customWidth="1"/>
    <col min="17" max="17" width="13.1640625" style="25" customWidth="1"/>
    <col min="18" max="18" width="12" style="25" bestFit="1" customWidth="1"/>
    <col min="19" max="19" width="10.5" style="25" customWidth="1"/>
    <col min="20" max="16384" width="8.83203125" style="25"/>
  </cols>
  <sheetData>
    <row r="1" spans="1:16" ht="21">
      <c r="A1" s="411" t="s">
        <v>271</v>
      </c>
      <c r="B1" s="411"/>
      <c r="C1" s="411"/>
      <c r="D1" s="411"/>
      <c r="E1" s="411"/>
      <c r="F1" s="411"/>
      <c r="G1" s="411"/>
      <c r="H1" s="24"/>
      <c r="I1" s="24"/>
      <c r="J1" s="1"/>
      <c r="K1" s="1"/>
      <c r="L1" s="1"/>
      <c r="M1" s="1"/>
      <c r="N1" s="1"/>
      <c r="O1" s="1"/>
    </row>
    <row r="2" spans="1:16" ht="17">
      <c r="A2" s="412"/>
      <c r="B2" s="412"/>
      <c r="C2" s="1"/>
      <c r="D2" s="1"/>
      <c r="E2" s="1"/>
      <c r="H2" s="1"/>
      <c r="I2" s="1"/>
      <c r="J2" s="1"/>
      <c r="K2" s="1"/>
      <c r="L2" s="1"/>
      <c r="M2" s="1"/>
      <c r="N2" s="1"/>
      <c r="O2" s="1"/>
    </row>
    <row r="3" spans="1:16" ht="16" thickBot="1">
      <c r="B3" s="2"/>
      <c r="C3" s="4"/>
      <c r="D3" s="1"/>
      <c r="E3" s="5"/>
      <c r="H3" s="5"/>
      <c r="I3" s="6"/>
      <c r="J3" s="1"/>
      <c r="K3" s="7"/>
      <c r="L3" s="4"/>
      <c r="M3" s="4"/>
      <c r="N3" s="4"/>
      <c r="O3" s="4"/>
    </row>
    <row r="4" spans="1:16" ht="18" thickBot="1">
      <c r="A4" s="332" t="s">
        <v>115</v>
      </c>
      <c r="B4" s="333"/>
      <c r="C4" s="333"/>
      <c r="D4" s="334"/>
      <c r="E4" s="5"/>
      <c r="H4" s="5"/>
      <c r="O4" s="4"/>
    </row>
    <row r="5" spans="1:16" ht="16" thickBot="1">
      <c r="A5" s="275" t="s">
        <v>1</v>
      </c>
      <c r="B5" s="276" t="s">
        <v>2</v>
      </c>
      <c r="C5" s="277" t="s">
        <v>3</v>
      </c>
      <c r="D5" s="278" t="s">
        <v>139</v>
      </c>
      <c r="E5" s="8"/>
      <c r="H5" s="9"/>
    </row>
    <row r="6" spans="1:16">
      <c r="A6" s="335" t="s">
        <v>5</v>
      </c>
      <c r="B6" s="283">
        <f>Table37[[#This Row],[Annually]]/12</f>
        <v>1050.2483399734394</v>
      </c>
      <c r="C6" s="283">
        <f>'Family Expenses'!B58</f>
        <v>12602.980079681274</v>
      </c>
      <c r="D6" s="404">
        <f>C6/C16</f>
        <v>0.18284280246947779</v>
      </c>
      <c r="E6" s="397"/>
      <c r="H6" s="9"/>
      <c r="P6" s="21"/>
    </row>
    <row r="7" spans="1:16">
      <c r="A7" s="336" t="s">
        <v>7</v>
      </c>
      <c r="B7" s="279">
        <f>Table37[[#This Row],[Annually]]/12</f>
        <v>202.8334985133796</v>
      </c>
      <c r="C7" s="279">
        <f>'Family Expenses'!B19</f>
        <v>2434.0019821605551</v>
      </c>
      <c r="D7" s="405">
        <f>C7/C16</f>
        <v>3.5312262720465615E-2</v>
      </c>
      <c r="E7" s="10"/>
      <c r="H7" s="9"/>
      <c r="P7" s="21"/>
    </row>
    <row r="8" spans="1:16">
      <c r="A8" s="337" t="s">
        <v>8</v>
      </c>
      <c r="B8" s="284">
        <f>'Family Expenses'!B13</f>
        <v>1202.5985000000001</v>
      </c>
      <c r="C8" s="284">
        <f>'Family Expenses'!B14</f>
        <v>14431.182000000001</v>
      </c>
      <c r="D8" s="406">
        <f>C8/C16</f>
        <v>0.20936617713782929</v>
      </c>
      <c r="E8" s="12"/>
      <c r="H8" s="9"/>
    </row>
    <row r="9" spans="1:16">
      <c r="A9" s="337" t="s">
        <v>9</v>
      </c>
      <c r="B9" s="284">
        <f>Table37[[#This Row],[Annually]]/12</f>
        <v>520.98526522593318</v>
      </c>
      <c r="C9" s="284">
        <f>'Family Expenses'!B36</f>
        <v>6251.8231827111986</v>
      </c>
      <c r="D9" s="406">
        <f>C9/C16</f>
        <v>9.0700839328746632E-2</v>
      </c>
      <c r="E9" s="13" t="s">
        <v>91</v>
      </c>
      <c r="H9" s="2"/>
    </row>
    <row r="10" spans="1:16">
      <c r="A10" s="338" t="s">
        <v>10</v>
      </c>
      <c r="B10" s="279">
        <f>Table37[[#This Row],[Annually]]/12</f>
        <v>1238.8616666666667</v>
      </c>
      <c r="C10" s="279">
        <f>'Family Expenses'!B53</f>
        <v>14866.34</v>
      </c>
      <c r="D10" s="405">
        <f>C10/C16</f>
        <v>0.21567940684492767</v>
      </c>
      <c r="E10" s="14"/>
      <c r="H10" s="2"/>
    </row>
    <row r="11" spans="1:16">
      <c r="A11" s="337" t="s">
        <v>11</v>
      </c>
      <c r="B11" s="284">
        <f>Table37[[#This Row],[Annually]]/12</f>
        <v>176.33</v>
      </c>
      <c r="C11" s="284">
        <f>'Family Expenses'!B64</f>
        <v>2115.96</v>
      </c>
      <c r="D11" s="406">
        <f>C11/C16</f>
        <v>3.0698140746652718E-2</v>
      </c>
      <c r="E11" s="14"/>
      <c r="H11" s="2"/>
    </row>
    <row r="12" spans="1:16">
      <c r="A12" s="338" t="s">
        <v>12</v>
      </c>
      <c r="B12" s="279">
        <f>Table37[[#This Row],[Annually]]/12</f>
        <v>228.08333333333334</v>
      </c>
      <c r="C12" s="306">
        <f>(B36*B37)*2+ (C36*C37)*2</f>
        <v>2737</v>
      </c>
      <c r="D12" s="405">
        <f>C12/C16</f>
        <v>3.970812833115394E-2</v>
      </c>
      <c r="E12" s="1"/>
      <c r="H12" s="1"/>
    </row>
    <row r="13" spans="1:16">
      <c r="A13" s="337" t="s">
        <v>13</v>
      </c>
      <c r="B13" s="284">
        <f>Table37[[#This Row],[Annually]]/12</f>
        <v>113.33333333333333</v>
      </c>
      <c r="C13" s="284">
        <f>'Family Expenses'!B44</f>
        <v>1360</v>
      </c>
      <c r="D13" s="406">
        <f>C13/C16</f>
        <v>1.9730746996846679E-2</v>
      </c>
      <c r="E13" s="8"/>
      <c r="H13" s="2"/>
    </row>
    <row r="14" spans="1:16">
      <c r="A14" s="338" t="s">
        <v>14</v>
      </c>
      <c r="B14" s="279">
        <f>Table37[[#This Row],[Annually]]/12</f>
        <v>606.43328358208953</v>
      </c>
      <c r="C14" s="279">
        <f>'Family Expenses'!B25</f>
        <v>7277.1994029850748</v>
      </c>
      <c r="D14" s="405">
        <f>C14/C16</f>
        <v>0.10557689725433984</v>
      </c>
      <c r="E14" s="10"/>
      <c r="H14" s="3"/>
    </row>
    <row r="15" spans="1:16" ht="16" thickBot="1">
      <c r="A15" s="339" t="s">
        <v>15</v>
      </c>
      <c r="B15" s="285">
        <f>Table37[[#This Row],[Annually]]/12</f>
        <v>404.28885572139302</v>
      </c>
      <c r="C15" s="285">
        <f>'Family Expenses'!B26</f>
        <v>4851.4662686567162</v>
      </c>
      <c r="D15" s="407">
        <f>C15/C16</f>
        <v>7.03845981695599E-2</v>
      </c>
      <c r="E15" s="10"/>
      <c r="H15" s="3"/>
    </row>
    <row r="16" spans="1:16" ht="16" thickBot="1">
      <c r="A16" s="275" t="s">
        <v>16</v>
      </c>
      <c r="B16" s="281">
        <f>SUM(B6:B15)</f>
        <v>5743.9960763495674</v>
      </c>
      <c r="C16" s="281">
        <f>SUM(C6:C15)</f>
        <v>68927.952916194816</v>
      </c>
      <c r="D16" s="282">
        <f>SUM(D6:D15)</f>
        <v>0.99999999999999989</v>
      </c>
      <c r="E16" s="10"/>
      <c r="H16" s="15"/>
    </row>
    <row r="17" spans="1:9" ht="16" thickBot="1">
      <c r="A17" s="5"/>
      <c r="B17" s="15"/>
      <c r="C17" s="15"/>
      <c r="D17" s="15"/>
      <c r="E17" s="10"/>
      <c r="H17" s="16"/>
    </row>
    <row r="18" spans="1:9" ht="18" thickBot="1">
      <c r="A18" s="332" t="s">
        <v>17</v>
      </c>
      <c r="B18" s="333"/>
      <c r="C18" s="334"/>
      <c r="D18" s="19" t="s">
        <v>302</v>
      </c>
      <c r="E18" s="31"/>
      <c r="F18" s="332" t="s">
        <v>300</v>
      </c>
      <c r="G18" s="367"/>
      <c r="H18" s="367"/>
      <c r="I18" s="368"/>
    </row>
    <row r="19" spans="1:9" ht="16" thickBot="1">
      <c r="A19" s="296" t="s">
        <v>18</v>
      </c>
      <c r="B19" s="297" t="s">
        <v>2</v>
      </c>
      <c r="C19" s="298" t="s">
        <v>3</v>
      </c>
      <c r="F19" s="369" t="s">
        <v>301</v>
      </c>
      <c r="G19" s="22" t="s">
        <v>25</v>
      </c>
      <c r="H19" s="22" t="s">
        <v>26</v>
      </c>
      <c r="I19" s="370" t="s">
        <v>16</v>
      </c>
    </row>
    <row r="20" spans="1:9">
      <c r="A20" s="292" t="s">
        <v>102</v>
      </c>
      <c r="B20" s="270">
        <f>'Table II - Government Transfers'!C12</f>
        <v>0</v>
      </c>
      <c r="C20" s="293">
        <f>'Table II - Government Transfers'!D12</f>
        <v>0</v>
      </c>
      <c r="F20" s="320" t="s">
        <v>239</v>
      </c>
      <c r="G20" s="308">
        <f>B38</f>
        <v>35581</v>
      </c>
      <c r="H20" s="309">
        <f>C38</f>
        <v>35581</v>
      </c>
      <c r="I20" s="371">
        <f>D38</f>
        <v>71162</v>
      </c>
    </row>
    <row r="21" spans="1:9">
      <c r="A21" s="294" t="s">
        <v>103</v>
      </c>
      <c r="B21" s="291">
        <f>'Table II - Government Transfers'!C13</f>
        <v>20.833333333333332</v>
      </c>
      <c r="C21" s="295">
        <f>'Table II - Government Transfers'!D13</f>
        <v>250</v>
      </c>
      <c r="F21" s="320" t="s">
        <v>240</v>
      </c>
      <c r="G21" s="309">
        <f>C10</f>
        <v>14866.34</v>
      </c>
      <c r="H21" s="157"/>
      <c r="I21" s="371">
        <f>G21</f>
        <v>14866.34</v>
      </c>
    </row>
    <row r="22" spans="1:9">
      <c r="A22" s="292" t="s">
        <v>140</v>
      </c>
      <c r="B22" s="270">
        <f>'Table II - Government Transfers'!C14</f>
        <v>686.32333333333327</v>
      </c>
      <c r="C22" s="293">
        <f>'Table II - Government Transfers'!D14</f>
        <v>4117.9399999999996</v>
      </c>
      <c r="F22" s="320" t="s">
        <v>241</v>
      </c>
      <c r="G22" s="309">
        <f t="shared" ref="G22:G27" si="0">B39</f>
        <v>-13000</v>
      </c>
      <c r="H22" s="157"/>
      <c r="I22" s="372">
        <f>G22</f>
        <v>-13000</v>
      </c>
    </row>
    <row r="23" spans="1:9">
      <c r="A23" s="294" t="s">
        <v>141</v>
      </c>
      <c r="B23" s="291">
        <f>'Table II - Government Transfers'!C15</f>
        <v>715.86083333333329</v>
      </c>
      <c r="C23" s="295">
        <f>'Table II - Government Transfers'!D15</f>
        <v>4295.165</v>
      </c>
      <c r="F23" s="320" t="s">
        <v>29</v>
      </c>
      <c r="G23" s="310">
        <f t="shared" si="0"/>
        <v>22581</v>
      </c>
      <c r="H23" s="310">
        <f t="shared" ref="H23:I27" si="1">C40</f>
        <v>35581</v>
      </c>
      <c r="I23" s="373">
        <f t="shared" si="1"/>
        <v>58162</v>
      </c>
    </row>
    <row r="24" spans="1:9">
      <c r="A24" s="292" t="s">
        <v>90</v>
      </c>
      <c r="B24" s="270">
        <f>'Table II - Government Transfers'!C16</f>
        <v>0</v>
      </c>
      <c r="C24" s="293">
        <f>'Table II - Government Transfers'!D16</f>
        <v>0</v>
      </c>
      <c r="F24" s="320" t="s">
        <v>30</v>
      </c>
      <c r="G24" s="311">
        <f t="shared" si="0"/>
        <v>562.1798</v>
      </c>
      <c r="H24" s="310">
        <f t="shared" si="1"/>
        <v>562.1798</v>
      </c>
      <c r="I24" s="374">
        <f t="shared" si="1"/>
        <v>1124.3596</v>
      </c>
    </row>
    <row r="25" spans="1:9" ht="16" thickBot="1">
      <c r="A25" s="294" t="s">
        <v>112</v>
      </c>
      <c r="B25" s="291">
        <f>'Table II - Government Transfers'!C17</f>
        <v>28.063333333333333</v>
      </c>
      <c r="C25" s="295">
        <f>'Table II - Government Transfers'!D17</f>
        <v>336.76</v>
      </c>
      <c r="F25" s="375" t="s">
        <v>31</v>
      </c>
      <c r="G25" s="311">
        <f t="shared" si="0"/>
        <v>1684.2524999999998</v>
      </c>
      <c r="H25" s="310">
        <f t="shared" si="1"/>
        <v>1684.2524999999998</v>
      </c>
      <c r="I25" s="374">
        <f t="shared" si="1"/>
        <v>3368.5049999999997</v>
      </c>
    </row>
    <row r="26" spans="1:9" ht="16" thickBot="1">
      <c r="A26" s="288" t="s">
        <v>16</v>
      </c>
      <c r="B26" s="289">
        <f>SUM(B20:B25)</f>
        <v>1451.0808333333332</v>
      </c>
      <c r="C26" s="290">
        <f>SUM(C20:C25)</f>
        <v>8999.8649999999998</v>
      </c>
      <c r="F26" s="320" t="s">
        <v>32</v>
      </c>
      <c r="G26" s="311">
        <f t="shared" si="0"/>
        <v>840.75565500000039</v>
      </c>
      <c r="H26" s="310">
        <f t="shared" si="1"/>
        <v>2858.0351549999996</v>
      </c>
      <c r="I26" s="374">
        <f t="shared" si="1"/>
        <v>3698.79081</v>
      </c>
    </row>
    <row r="27" spans="1:9" ht="18" thickBot="1">
      <c r="A27" s="5"/>
      <c r="B27" s="15"/>
      <c r="C27" s="15"/>
      <c r="D27" s="19"/>
      <c r="E27" s="18"/>
      <c r="F27" s="320" t="s">
        <v>33</v>
      </c>
      <c r="G27" s="311">
        <f t="shared" si="0"/>
        <v>888.58730609999975</v>
      </c>
      <c r="H27" s="310">
        <f t="shared" si="1"/>
        <v>2086.7605960999999</v>
      </c>
      <c r="I27" s="374">
        <f t="shared" si="1"/>
        <v>2975.3479021999997</v>
      </c>
    </row>
    <row r="28" spans="1:9" ht="18" thickBot="1">
      <c r="A28" s="332" t="s">
        <v>19</v>
      </c>
      <c r="B28" s="333"/>
      <c r="C28" s="334"/>
      <c r="D28" s="1"/>
      <c r="E28" s="18"/>
      <c r="F28" s="322" t="s">
        <v>35</v>
      </c>
      <c r="G28" s="376">
        <f>B46</f>
        <v>31605.2247389</v>
      </c>
      <c r="H28" s="376">
        <f>C46</f>
        <v>28389.771948900001</v>
      </c>
      <c r="I28" s="377">
        <f>D46</f>
        <v>59994.996687799998</v>
      </c>
    </row>
    <row r="29" spans="1:9">
      <c r="A29" s="340"/>
      <c r="B29" s="6"/>
      <c r="C29" s="341" t="s">
        <v>3</v>
      </c>
      <c r="D29" s="7"/>
      <c r="E29" s="5"/>
    </row>
    <row r="30" spans="1:9">
      <c r="A30" s="163" t="s">
        <v>20</v>
      </c>
      <c r="B30" s="48"/>
      <c r="C30" s="342">
        <f>C26+D46</f>
        <v>68994.861687800003</v>
      </c>
      <c r="D30" s="1"/>
      <c r="E30" s="5"/>
    </row>
    <row r="31" spans="1:9" ht="16" thickBot="1">
      <c r="A31" s="163" t="s">
        <v>21</v>
      </c>
      <c r="B31" s="48"/>
      <c r="C31" s="342">
        <f>C16</f>
        <v>68927.952916194816</v>
      </c>
      <c r="D31" s="1"/>
      <c r="E31" s="2"/>
    </row>
    <row r="32" spans="1:9" ht="16" thickBot="1">
      <c r="A32" s="343" t="s">
        <v>22</v>
      </c>
      <c r="B32" s="344"/>
      <c r="C32" s="345">
        <f>C30-C31</f>
        <v>66.908771605187212</v>
      </c>
      <c r="D32" s="1"/>
      <c r="E32" s="1"/>
    </row>
    <row r="33" spans="1:11" ht="16" thickBot="1">
      <c r="A33" s="5"/>
      <c r="B33" s="15"/>
      <c r="C33" s="15"/>
      <c r="D33" s="1"/>
      <c r="E33" s="1"/>
    </row>
    <row r="34" spans="1:11" ht="17">
      <c r="A34" s="332" t="s">
        <v>23</v>
      </c>
      <c r="B34" s="333"/>
      <c r="C34" s="333"/>
      <c r="D34" s="346"/>
      <c r="E34" s="1"/>
      <c r="H34" s="5"/>
      <c r="I34" s="1"/>
      <c r="J34" s="1"/>
    </row>
    <row r="35" spans="1:11">
      <c r="A35" s="347" t="s">
        <v>24</v>
      </c>
      <c r="B35" s="271" t="s">
        <v>25</v>
      </c>
      <c r="C35" s="272" t="s">
        <v>26</v>
      </c>
      <c r="D35" s="348" t="s">
        <v>16</v>
      </c>
      <c r="E35" s="1"/>
      <c r="H35" s="1"/>
      <c r="I35" s="25" t="s">
        <v>91</v>
      </c>
    </row>
    <row r="36" spans="1:11">
      <c r="A36" s="349" t="s">
        <v>27</v>
      </c>
      <c r="B36" s="300">
        <v>35</v>
      </c>
      <c r="C36" s="301">
        <v>35</v>
      </c>
      <c r="D36" s="350">
        <f>B36+C36</f>
        <v>70</v>
      </c>
      <c r="E36" s="4"/>
    </row>
    <row r="37" spans="1:11" ht="19">
      <c r="A37" s="351" t="s">
        <v>28</v>
      </c>
      <c r="B37" s="302">
        <v>19.55</v>
      </c>
      <c r="C37" s="302">
        <f>B37</f>
        <v>19.55</v>
      </c>
      <c r="D37" s="352"/>
    </row>
    <row r="38" spans="1:11" ht="17">
      <c r="A38" s="356" t="s">
        <v>312</v>
      </c>
      <c r="B38" s="280">
        <f>(B37*B36)*52</f>
        <v>35581</v>
      </c>
      <c r="C38" s="280">
        <f>(C37*C36)*52</f>
        <v>35581</v>
      </c>
      <c r="D38" s="400">
        <f>B38+C38</f>
        <v>71162</v>
      </c>
      <c r="E38" s="32"/>
    </row>
    <row r="39" spans="1:11">
      <c r="A39" s="354" t="s">
        <v>308</v>
      </c>
      <c r="B39" s="306">
        <f>-MIN(C10,'Table IV - Taxes and Credits'!C65)</f>
        <v>-13000</v>
      </c>
      <c r="C39" s="303"/>
      <c r="D39" s="355"/>
      <c r="E39" s="1"/>
      <c r="I39" s="1"/>
    </row>
    <row r="40" spans="1:11">
      <c r="A40" s="353" t="s">
        <v>29</v>
      </c>
      <c r="B40" s="307">
        <f>B38+B39</f>
        <v>22581</v>
      </c>
      <c r="C40" s="307">
        <f>C38+C39</f>
        <v>35581</v>
      </c>
      <c r="D40" s="357">
        <f t="shared" ref="D40:D47" si="2">B40+C40</f>
        <v>58162</v>
      </c>
      <c r="E40" s="1"/>
      <c r="I40" s="1"/>
    </row>
    <row r="41" spans="1:11">
      <c r="A41" s="353" t="s">
        <v>30</v>
      </c>
      <c r="B41" s="304">
        <f>'Table IV - Taxes and Credits'!C8</f>
        <v>562.1798</v>
      </c>
      <c r="C41" s="304">
        <f>'Table IV - Taxes and Credits'!D8</f>
        <v>562.1798</v>
      </c>
      <c r="D41" s="358">
        <f t="shared" si="2"/>
        <v>1124.3596</v>
      </c>
      <c r="E41" s="1"/>
      <c r="I41" s="1"/>
    </row>
    <row r="42" spans="1:11">
      <c r="A42" s="353" t="s">
        <v>31</v>
      </c>
      <c r="B42" s="305">
        <f>'Table IV - Taxes and Credits'!C13</f>
        <v>1684.2524999999998</v>
      </c>
      <c r="C42" s="305">
        <f>'Table IV - Taxes and Credits'!D13</f>
        <v>1684.2524999999998</v>
      </c>
      <c r="D42" s="358">
        <f t="shared" si="2"/>
        <v>3368.5049999999997</v>
      </c>
      <c r="J42" s="1"/>
      <c r="K42" s="1"/>
    </row>
    <row r="43" spans="1:11">
      <c r="A43" s="353" t="s">
        <v>32</v>
      </c>
      <c r="B43" s="307">
        <f>MAX(0,((B40*'Table IV - Taxes and Credits'!D40)-(('Table IV - Taxes and Credits'!D16+'Table IV - Taxes and Credits'!C70+B41+B42+'Table IV - Taxes and Credits'!D22)*'Table IV - Taxes and Credits'!D21)))</f>
        <v>840.75565500000039</v>
      </c>
      <c r="C43" s="307">
        <f>MAX(0,(C40*'Table IV - Taxes and Credits'!D40-('Table IV - Taxes and Credits'!D16+'Table IV - Taxes and Credits'!D22+C41+C42+'Table IV - Taxes and Credits'!C74)*'Table IV - Taxes and Credits'!D21))</f>
        <v>2858.0351549999996</v>
      </c>
      <c r="D43" s="358">
        <f t="shared" si="2"/>
        <v>3698.79081</v>
      </c>
      <c r="J43" s="1"/>
      <c r="K43" s="1"/>
    </row>
    <row r="44" spans="1:11">
      <c r="A44" s="353" t="s">
        <v>33</v>
      </c>
      <c r="B44" s="307">
        <f>MAX(0,((B40*'Table IV - Taxes and Credits'!D32)-(('Table IV - Taxes and Credits'!C16+'Table IV - Taxes and Credits'!C71+B41+B42)*'Table IV - Taxes and Credits'!C21)))</f>
        <v>888.58730609999975</v>
      </c>
      <c r="C44" s="307">
        <f>MAX(0,(((C40*'Table IV - Taxes and Credits'!D32)-(('Table IV - Taxes and Credits'!C16+C41+C42+'Table IV - Taxes and Credits'!C75)*'Table IV - Taxes and Credits'!C21))-'Table IV - Taxes and Credits'!C28))</f>
        <v>2086.7605960999999</v>
      </c>
      <c r="D44" s="358">
        <f t="shared" si="2"/>
        <v>2975.3479021999997</v>
      </c>
      <c r="G44" s="1"/>
      <c r="H44" s="1"/>
      <c r="I44" s="4"/>
      <c r="J44" s="1"/>
      <c r="K44" s="1"/>
    </row>
    <row r="45" spans="1:11">
      <c r="A45" s="353" t="s">
        <v>34</v>
      </c>
      <c r="B45" s="307">
        <f>IF(D40&lt;50704, IF((0.25*(C11-B40*0.03) - 0.05*(D40-26644))&gt;0, -1*(0.25*(C11-B40*0.03) - 0.05*(D40-26644)),0),0)</f>
        <v>0</v>
      </c>
      <c r="C45" s="305">
        <f>'Table IV - Taxes and Credits'!C53</f>
        <v>0</v>
      </c>
      <c r="D45" s="358">
        <f t="shared" si="2"/>
        <v>0</v>
      </c>
      <c r="E45" s="4"/>
      <c r="F45" s="1"/>
      <c r="G45" s="1"/>
      <c r="H45" s="1"/>
      <c r="I45" s="1"/>
      <c r="J45" s="4"/>
      <c r="K45" s="1"/>
    </row>
    <row r="46" spans="1:11">
      <c r="A46" s="351" t="s">
        <v>35</v>
      </c>
      <c r="B46" s="401">
        <f>B38-SUM(B41:B45)</f>
        <v>31605.2247389</v>
      </c>
      <c r="C46" s="401">
        <f>C38-SUM(C41:C45)</f>
        <v>28389.771948900001</v>
      </c>
      <c r="D46" s="402">
        <f t="shared" si="2"/>
        <v>59994.996687799998</v>
      </c>
      <c r="E46" s="1"/>
      <c r="F46" s="1"/>
      <c r="G46" s="1"/>
      <c r="H46" s="1"/>
      <c r="I46" s="1"/>
      <c r="J46" s="1"/>
      <c r="K46" s="1"/>
    </row>
    <row r="47" spans="1:11" ht="16" thickBot="1">
      <c r="A47" s="359" t="s">
        <v>36</v>
      </c>
      <c r="B47" s="360">
        <f>B46/12</f>
        <v>2633.7687282416668</v>
      </c>
      <c r="C47" s="360">
        <f>C46/12</f>
        <v>2365.8143290749999</v>
      </c>
      <c r="D47" s="361">
        <f t="shared" si="2"/>
        <v>4999.5830573166668</v>
      </c>
      <c r="F47" s="1"/>
      <c r="G47" s="1"/>
      <c r="H47" s="1"/>
      <c r="I47" s="1"/>
      <c r="J47" s="1"/>
      <c r="K47" s="1"/>
    </row>
    <row r="48" spans="1:11" ht="16" thickBot="1">
      <c r="F48" s="4"/>
      <c r="G48" s="1"/>
      <c r="H48" s="1"/>
      <c r="I48" s="1"/>
      <c r="J48" s="1"/>
      <c r="K48" s="1"/>
    </row>
    <row r="49" spans="1:15" ht="17">
      <c r="A49" s="362" t="s">
        <v>37</v>
      </c>
      <c r="B49" s="363"/>
      <c r="C49" s="363"/>
      <c r="D49" s="364"/>
      <c r="F49" s="1"/>
      <c r="G49" s="1"/>
      <c r="H49" s="1"/>
      <c r="I49" s="1"/>
      <c r="J49" s="1"/>
      <c r="K49" s="1"/>
    </row>
    <row r="50" spans="1:15">
      <c r="A50" s="413" t="s">
        <v>38</v>
      </c>
      <c r="B50" s="414"/>
      <c r="C50" s="415"/>
      <c r="D50" s="365">
        <f xml:space="preserve"> D38</f>
        <v>71162</v>
      </c>
      <c r="F50" s="1"/>
      <c r="G50" s="1"/>
      <c r="H50" s="1"/>
      <c r="I50" s="1"/>
      <c r="J50" s="1"/>
      <c r="K50" s="4"/>
    </row>
    <row r="51" spans="1:15">
      <c r="A51" s="413" t="s">
        <v>39</v>
      </c>
      <c r="B51" s="414"/>
      <c r="C51" s="415"/>
      <c r="D51" s="365">
        <f>SUM(B41:B44)+SUM(C41:C44)</f>
        <v>11167.0033122</v>
      </c>
      <c r="F51" s="1"/>
      <c r="G51" s="1"/>
      <c r="H51" s="1"/>
      <c r="I51" s="1"/>
      <c r="J51" s="1"/>
      <c r="K51" s="1"/>
    </row>
    <row r="52" spans="1:15">
      <c r="A52" s="413" t="s">
        <v>40</v>
      </c>
      <c r="B52" s="414"/>
      <c r="C52" s="415"/>
      <c r="D52" s="365">
        <f>D50-D51</f>
        <v>59994.996687799998</v>
      </c>
    </row>
    <row r="53" spans="1:15">
      <c r="A53" s="413" t="s">
        <v>116</v>
      </c>
      <c r="B53" s="414"/>
      <c r="C53" s="415"/>
      <c r="D53" s="365">
        <f>C26</f>
        <v>8999.8649999999998</v>
      </c>
      <c r="F53" s="1"/>
      <c r="G53" s="4"/>
      <c r="J53" s="1"/>
      <c r="K53" s="1"/>
    </row>
    <row r="54" spans="1:15">
      <c r="A54" s="413" t="s">
        <v>41</v>
      </c>
      <c r="B54" s="414"/>
      <c r="C54" s="415"/>
      <c r="D54" s="365">
        <f>D52+D53</f>
        <v>68994.861687800003</v>
      </c>
      <c r="F54" s="1"/>
      <c r="G54" s="1"/>
      <c r="K54" s="1"/>
    </row>
    <row r="55" spans="1:15">
      <c r="A55" s="413" t="s">
        <v>42</v>
      </c>
      <c r="B55" s="414"/>
      <c r="C55" s="415"/>
      <c r="D55" s="365">
        <f>C16</f>
        <v>68927.952916194816</v>
      </c>
      <c r="F55" s="1"/>
      <c r="G55" s="1"/>
      <c r="K55" s="1"/>
    </row>
    <row r="56" spans="1:15" ht="16" thickBot="1">
      <c r="A56" s="408" t="s">
        <v>43</v>
      </c>
      <c r="B56" s="409"/>
      <c r="C56" s="410"/>
      <c r="D56" s="366">
        <f>D54-D55</f>
        <v>66.908771605187212</v>
      </c>
      <c r="J56" s="1"/>
      <c r="K56" s="1"/>
      <c r="O56" s="1"/>
    </row>
    <row r="57" spans="1:15">
      <c r="J57" s="1"/>
      <c r="K57" s="1"/>
      <c r="O57" s="1"/>
    </row>
    <row r="58" spans="1:15">
      <c r="J58" s="1"/>
      <c r="K58" s="1"/>
      <c r="O58" s="1"/>
    </row>
    <row r="59" spans="1:15">
      <c r="K59" s="1"/>
    </row>
    <row r="60" spans="1:15">
      <c r="K60" s="1"/>
    </row>
    <row r="61" spans="1:15">
      <c r="K61" s="1"/>
    </row>
    <row r="62" spans="1:15">
      <c r="K62" s="1"/>
    </row>
  </sheetData>
  <mergeCells count="9">
    <mergeCell ref="A56:C56"/>
    <mergeCell ref="A1:G1"/>
    <mergeCell ref="A2:B2"/>
    <mergeCell ref="A50:C50"/>
    <mergeCell ref="A51:C51"/>
    <mergeCell ref="A52:C52"/>
    <mergeCell ref="A53:C53"/>
    <mergeCell ref="A54:C54"/>
    <mergeCell ref="A55:C55"/>
  </mergeCells>
  <pageMargins left="0.7" right="0.7" top="0.75" bottom="0.75" header="0.3" footer="0.3"/>
  <pageSetup orientation="portrait"/>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9"/>
  <sheetViews>
    <sheetView topLeftCell="B62" zoomScale="110" zoomScaleNormal="110" workbookViewId="0">
      <selection activeCell="L87" sqref="L87"/>
    </sheetView>
  </sheetViews>
  <sheetFormatPr baseColWidth="10" defaultColWidth="8.83203125" defaultRowHeight="15"/>
  <cols>
    <col min="1" max="1" width="3.1640625" style="25" customWidth="1"/>
    <col min="2" max="2" width="23" customWidth="1"/>
    <col min="7" max="7" width="13.1640625" customWidth="1"/>
    <col min="8" max="8" width="30.33203125" customWidth="1"/>
    <col min="9" max="9" width="12.5" customWidth="1"/>
    <col min="10" max="10" width="8.83203125" customWidth="1"/>
    <col min="12" max="12" width="37.5" customWidth="1"/>
  </cols>
  <sheetData>
    <row r="1" spans="2:18">
      <c r="B1" t="s">
        <v>316</v>
      </c>
    </row>
    <row r="2" spans="2:18">
      <c r="B2" t="s">
        <v>317</v>
      </c>
    </row>
    <row r="4" spans="2:18">
      <c r="B4" t="s">
        <v>318</v>
      </c>
    </row>
    <row r="6" spans="2:18">
      <c r="B6" t="s">
        <v>319</v>
      </c>
    </row>
    <row r="7" spans="2:18" s="25" customFormat="1">
      <c r="L7" s="89"/>
    </row>
    <row r="8" spans="2:18" s="25" customFormat="1">
      <c r="L8" s="89"/>
    </row>
    <row r="9" spans="2:18" ht="16" thickBot="1">
      <c r="L9" s="89" t="s">
        <v>258</v>
      </c>
    </row>
    <row r="10" spans="2:18" ht="18" thickBot="1">
      <c r="B10" s="56" t="s">
        <v>17</v>
      </c>
      <c r="C10" s="25"/>
      <c r="D10" s="25"/>
      <c r="E10" s="25"/>
      <c r="H10" s="382" t="s">
        <v>278</v>
      </c>
      <c r="I10" s="273"/>
      <c r="J10" s="273"/>
      <c r="K10" s="274"/>
      <c r="L10" s="268" t="s">
        <v>177</v>
      </c>
      <c r="M10" s="268"/>
      <c r="N10" s="268"/>
      <c r="O10" s="268"/>
      <c r="P10" s="268"/>
      <c r="Q10" s="268"/>
      <c r="R10" s="268"/>
    </row>
    <row r="11" spans="2:18">
      <c r="B11" s="57" t="s">
        <v>18</v>
      </c>
      <c r="C11" s="58" t="s">
        <v>143</v>
      </c>
      <c r="D11" s="58" t="s">
        <v>144</v>
      </c>
      <c r="E11" s="59" t="s">
        <v>145</v>
      </c>
      <c r="H11" s="383" t="s">
        <v>171</v>
      </c>
      <c r="I11" s="380" t="s">
        <v>25</v>
      </c>
      <c r="J11" s="380" t="s">
        <v>26</v>
      </c>
      <c r="K11" s="384" t="s">
        <v>16</v>
      </c>
      <c r="L11" s="269" t="s">
        <v>198</v>
      </c>
      <c r="M11" s="268"/>
      <c r="N11" s="268"/>
      <c r="O11" s="268"/>
      <c r="P11" s="268"/>
      <c r="Q11" s="268"/>
      <c r="R11" s="268"/>
    </row>
    <row r="12" spans="2:18">
      <c r="B12" s="60" t="s">
        <v>102</v>
      </c>
      <c r="C12" s="299">
        <f>D12/12</f>
        <v>0</v>
      </c>
      <c r="D12" s="299">
        <f>I27</f>
        <v>0</v>
      </c>
      <c r="E12" s="61"/>
      <c r="H12" s="385" t="s">
        <v>162</v>
      </c>
      <c r="I12" s="381">
        <f>'2020 Living Wage Income'!G20</f>
        <v>35581</v>
      </c>
      <c r="J12" s="381">
        <f>'2020 Living Wage Income'!H20</f>
        <v>35581</v>
      </c>
      <c r="K12" s="386">
        <f>'2020 Living Wage Income'!I20</f>
        <v>71162</v>
      </c>
    </row>
    <row r="13" spans="2:18">
      <c r="B13" s="60" t="s">
        <v>103</v>
      </c>
      <c r="C13" s="299">
        <f>D13/12</f>
        <v>20.833333333333332</v>
      </c>
      <c r="D13" s="299">
        <f>I35</f>
        <v>250</v>
      </c>
      <c r="E13" s="61"/>
      <c r="H13" s="385" t="s">
        <v>163</v>
      </c>
      <c r="I13" s="381">
        <f>'2020 Living Wage Income'!G21</f>
        <v>14866.34</v>
      </c>
      <c r="J13" s="381">
        <f>'2020 Living Wage Income'!H21</f>
        <v>0</v>
      </c>
      <c r="K13" s="386">
        <f>'2020 Living Wage Income'!I21</f>
        <v>14866.34</v>
      </c>
    </row>
    <row r="14" spans="2:18">
      <c r="B14" s="60" t="s">
        <v>146</v>
      </c>
      <c r="C14" s="299">
        <f>D14/6</f>
        <v>686.32333333333327</v>
      </c>
      <c r="D14" s="299">
        <f>I58</f>
        <v>4117.9399999999996</v>
      </c>
      <c r="E14" s="61"/>
      <c r="H14" s="385" t="s">
        <v>164</v>
      </c>
      <c r="I14" s="381">
        <f>'2020 Living Wage Income'!G22</f>
        <v>-13000</v>
      </c>
      <c r="J14" s="381">
        <f>'2020 Living Wage Income'!H22</f>
        <v>0</v>
      </c>
      <c r="K14" s="386">
        <f>'2020 Living Wage Income'!I22</f>
        <v>-13000</v>
      </c>
    </row>
    <row r="15" spans="2:18">
      <c r="B15" s="60" t="s">
        <v>147</v>
      </c>
      <c r="C15" s="299">
        <f>D15/6</f>
        <v>715.86083333333329</v>
      </c>
      <c r="D15" s="299">
        <f>I59</f>
        <v>4295.165</v>
      </c>
      <c r="E15" s="61"/>
      <c r="H15" s="385" t="s">
        <v>165</v>
      </c>
      <c r="I15" s="381">
        <f>'2020 Living Wage Income'!G23</f>
        <v>22581</v>
      </c>
      <c r="J15" s="381">
        <f>'2020 Living Wage Income'!H23</f>
        <v>35581</v>
      </c>
      <c r="K15" s="386">
        <f>'2020 Living Wage Income'!I23</f>
        <v>58162</v>
      </c>
    </row>
    <row r="16" spans="2:18">
      <c r="B16" s="60" t="s">
        <v>148</v>
      </c>
      <c r="C16" s="299">
        <f>D16/12</f>
        <v>0</v>
      </c>
      <c r="D16" s="299">
        <f>I76</f>
        <v>0</v>
      </c>
      <c r="E16" s="61"/>
      <c r="H16" s="385" t="s">
        <v>166</v>
      </c>
      <c r="I16" s="381">
        <f>'2020 Living Wage Income'!G24</f>
        <v>562.1798</v>
      </c>
      <c r="J16" s="381">
        <f>'2020 Living Wage Income'!H24</f>
        <v>562.1798</v>
      </c>
      <c r="K16" s="386">
        <f>'2020 Living Wage Income'!I24</f>
        <v>1124.3596</v>
      </c>
    </row>
    <row r="17" spans="2:12">
      <c r="B17" s="60" t="s">
        <v>112</v>
      </c>
      <c r="C17" s="299">
        <f>D17/12</f>
        <v>28.063333333333333</v>
      </c>
      <c r="D17" s="299">
        <f>I86</f>
        <v>336.76</v>
      </c>
      <c r="E17" s="61"/>
      <c r="H17" s="385" t="s">
        <v>167</v>
      </c>
      <c r="I17" s="381">
        <f>'2020 Living Wage Income'!G25</f>
        <v>1684.2524999999998</v>
      </c>
      <c r="J17" s="381">
        <f>'2020 Living Wage Income'!H25</f>
        <v>1684.2524999999998</v>
      </c>
      <c r="K17" s="386">
        <f>'2020 Living Wage Income'!I25</f>
        <v>3368.5049999999997</v>
      </c>
    </row>
    <row r="18" spans="2:12">
      <c r="B18" s="60"/>
      <c r="C18" s="378"/>
      <c r="D18" s="379"/>
      <c r="E18" s="61"/>
      <c r="H18" s="385" t="s">
        <v>168</v>
      </c>
      <c r="I18" s="381">
        <f>'2020 Living Wage Income'!G26</f>
        <v>840.75565500000039</v>
      </c>
      <c r="J18" s="381">
        <f>'2020 Living Wage Income'!H26</f>
        <v>2858.0351549999996</v>
      </c>
      <c r="K18" s="386">
        <f>'2020 Living Wage Income'!I26</f>
        <v>3698.79081</v>
      </c>
    </row>
    <row r="19" spans="2:12">
      <c r="B19" s="60"/>
      <c r="C19" s="378"/>
      <c r="D19" s="379"/>
      <c r="E19" s="61"/>
      <c r="H19" s="385" t="s">
        <v>169</v>
      </c>
      <c r="I19" s="381">
        <f>'2020 Living Wage Income'!G27</f>
        <v>888.58730609999975</v>
      </c>
      <c r="J19" s="381">
        <f>'2020 Living Wage Income'!H27</f>
        <v>2086.7605960999999</v>
      </c>
      <c r="K19" s="386">
        <f>'2020 Living Wage Income'!I27</f>
        <v>2975.3479021999997</v>
      </c>
    </row>
    <row r="20" spans="2:12" ht="16" thickBot="1">
      <c r="B20" s="60"/>
      <c r="C20" s="37"/>
      <c r="D20" s="37"/>
      <c r="E20" s="61"/>
      <c r="H20" s="387" t="s">
        <v>170</v>
      </c>
      <c r="I20" s="388">
        <f>'2020 Living Wage Income'!G28</f>
        <v>31605.2247389</v>
      </c>
      <c r="J20" s="388">
        <f>'2020 Living Wage Income'!H28</f>
        <v>28389.771948900001</v>
      </c>
      <c r="K20" s="389">
        <f>'2020 Living Wage Income'!I28</f>
        <v>59994.996687799998</v>
      </c>
    </row>
    <row r="21" spans="2:12" ht="16" thickBot="1">
      <c r="B21" s="62"/>
      <c r="C21" s="63"/>
      <c r="D21" s="63"/>
      <c r="E21" s="64"/>
    </row>
    <row r="22" spans="2:12" ht="16" thickBot="1">
      <c r="H22" s="421" t="s">
        <v>157</v>
      </c>
      <c r="I22" s="422"/>
    </row>
    <row r="23" spans="2:12" ht="19">
      <c r="B23" s="419" t="s">
        <v>149</v>
      </c>
      <c r="C23" s="420"/>
      <c r="D23" s="25"/>
      <c r="E23" s="25"/>
      <c r="F23" s="25"/>
      <c r="G23" s="25"/>
      <c r="H23" s="67" t="s">
        <v>320</v>
      </c>
      <c r="I23" s="101">
        <v>20000</v>
      </c>
      <c r="L23" s="25" t="s">
        <v>268</v>
      </c>
    </row>
    <row r="24" spans="2:12">
      <c r="B24" s="60" t="s">
        <v>150</v>
      </c>
      <c r="C24" s="391">
        <f>COUNTIF(C25:C26,"&lt;18")</f>
        <v>2</v>
      </c>
      <c r="D24" s="25"/>
      <c r="E24" s="25"/>
      <c r="F24" s="25"/>
      <c r="G24" s="25"/>
      <c r="H24" s="67" t="s">
        <v>158</v>
      </c>
      <c r="I24" s="101">
        <v>250</v>
      </c>
    </row>
    <row r="25" spans="2:12">
      <c r="B25" s="60" t="s">
        <v>151</v>
      </c>
      <c r="C25" s="392">
        <v>2</v>
      </c>
      <c r="D25" s="25"/>
      <c r="E25" s="25"/>
      <c r="F25" s="25"/>
      <c r="G25" s="25"/>
      <c r="H25" s="67" t="s">
        <v>159</v>
      </c>
      <c r="I25" s="99">
        <v>2.5000000000000001E-2</v>
      </c>
    </row>
    <row r="26" spans="2:12">
      <c r="B26" s="60" t="s">
        <v>152</v>
      </c>
      <c r="C26" s="392">
        <v>7</v>
      </c>
      <c r="D26" s="25"/>
      <c r="E26" s="25"/>
      <c r="F26" s="25"/>
      <c r="G26" s="25"/>
      <c r="H26" s="67" t="s">
        <v>160</v>
      </c>
      <c r="I26" s="102">
        <v>0.05</v>
      </c>
    </row>
    <row r="27" spans="2:12" ht="16" thickBot="1">
      <c r="B27" s="60"/>
      <c r="C27" s="151"/>
      <c r="D27" s="25"/>
      <c r="E27" s="25"/>
      <c r="F27" s="25"/>
      <c r="G27" s="25"/>
      <c r="H27" s="68" t="s">
        <v>161</v>
      </c>
      <c r="I27" s="390">
        <f>MAX(0,(I24*IF(C24=1,I25,IF(C24=2,I26,"error")))-((K15-I23)*IF(C24=1,I25,IF(C24=2,I26,"error"))))</f>
        <v>0</v>
      </c>
    </row>
    <row r="28" spans="2:12" ht="16" thickBot="1">
      <c r="B28" s="65" t="s">
        <v>153</v>
      </c>
      <c r="C28" s="393">
        <v>0</v>
      </c>
      <c r="D28" s="26" t="s">
        <v>154</v>
      </c>
      <c r="E28" s="25"/>
      <c r="F28" s="25"/>
      <c r="G28" s="25"/>
    </row>
    <row r="29" spans="2:12">
      <c r="B29" s="65" t="s">
        <v>153</v>
      </c>
      <c r="C29" s="394">
        <f>C28*0</f>
        <v>0</v>
      </c>
      <c r="D29" s="26" t="s">
        <v>155</v>
      </c>
      <c r="E29" s="25"/>
      <c r="F29" s="25"/>
      <c r="G29" s="25"/>
      <c r="H29" s="421" t="s">
        <v>172</v>
      </c>
      <c r="I29" s="422"/>
    </row>
    <row r="30" spans="2:12" ht="16" thickBot="1">
      <c r="B30" s="66" t="s">
        <v>153</v>
      </c>
      <c r="C30" s="395">
        <f>C29</f>
        <v>0</v>
      </c>
      <c r="D30" s="26" t="s">
        <v>156</v>
      </c>
      <c r="E30" s="25"/>
      <c r="F30" s="25"/>
      <c r="G30" s="25"/>
      <c r="H30" s="67" t="s">
        <v>173</v>
      </c>
      <c r="I30" s="101">
        <v>250</v>
      </c>
      <c r="L30" s="25" t="s">
        <v>268</v>
      </c>
    </row>
    <row r="31" spans="2:12">
      <c r="H31" s="67" t="s">
        <v>174</v>
      </c>
      <c r="I31" s="106">
        <v>0.04</v>
      </c>
    </row>
    <row r="32" spans="2:12">
      <c r="H32" s="67" t="s">
        <v>321</v>
      </c>
      <c r="I32" s="101">
        <v>3750</v>
      </c>
    </row>
    <row r="33" spans="8:12">
      <c r="H33" s="67" t="s">
        <v>175</v>
      </c>
      <c r="I33" s="106">
        <v>0.05</v>
      </c>
    </row>
    <row r="34" spans="8:12">
      <c r="H34" s="67" t="s">
        <v>322</v>
      </c>
      <c r="I34" s="107">
        <v>20921</v>
      </c>
    </row>
    <row r="35" spans="8:12" ht="16" thickBot="1">
      <c r="H35" s="68" t="s">
        <v>176</v>
      </c>
      <c r="I35" s="103">
        <f>MIN(I30,(I31*(K12-I32))-(I33*(K15-I34)))</f>
        <v>250</v>
      </c>
    </row>
    <row r="36" spans="8:12" ht="16" thickBot="1"/>
    <row r="37" spans="8:12">
      <c r="H37" s="421" t="s">
        <v>269</v>
      </c>
      <c r="I37" s="422"/>
      <c r="J37" s="25"/>
    </row>
    <row r="38" spans="8:12">
      <c r="H38" s="148" t="s">
        <v>280</v>
      </c>
      <c r="I38" s="61"/>
      <c r="J38" s="25"/>
    </row>
    <row r="39" spans="8:12">
      <c r="H39" s="149" t="s">
        <v>323</v>
      </c>
      <c r="I39" s="150">
        <v>30450</v>
      </c>
      <c r="J39" s="25"/>
      <c r="L39" t="s">
        <v>287</v>
      </c>
    </row>
    <row r="40" spans="8:12">
      <c r="H40" s="149" t="s">
        <v>324</v>
      </c>
      <c r="I40" s="150">
        <v>65976</v>
      </c>
      <c r="J40" s="25"/>
      <c r="L40" s="142" t="s">
        <v>288</v>
      </c>
    </row>
    <row r="41" spans="8:12">
      <c r="H41" s="69" t="s">
        <v>178</v>
      </c>
      <c r="I41" s="150">
        <v>6496</v>
      </c>
      <c r="J41" s="25"/>
    </row>
    <row r="42" spans="8:12">
      <c r="H42" s="69" t="s">
        <v>179</v>
      </c>
      <c r="I42" s="150">
        <v>5481</v>
      </c>
      <c r="J42" s="25"/>
    </row>
    <row r="43" spans="8:12">
      <c r="H43" s="148" t="s">
        <v>281</v>
      </c>
      <c r="I43" s="151"/>
      <c r="J43" s="25"/>
    </row>
    <row r="44" spans="8:12">
      <c r="H44" s="149" t="s">
        <v>323</v>
      </c>
      <c r="I44" s="150">
        <v>31120</v>
      </c>
      <c r="J44" s="25"/>
      <c r="L44" t="s">
        <v>286</v>
      </c>
    </row>
    <row r="45" spans="8:12">
      <c r="H45" s="149" t="s">
        <v>324</v>
      </c>
      <c r="I45" s="150">
        <v>67426</v>
      </c>
      <c r="J45" s="25"/>
      <c r="L45" s="142" t="s">
        <v>270</v>
      </c>
    </row>
    <row r="46" spans="8:12">
      <c r="H46" s="69" t="s">
        <v>178</v>
      </c>
      <c r="I46" s="150">
        <v>6639</v>
      </c>
      <c r="J46" s="25"/>
      <c r="L46" s="141"/>
    </row>
    <row r="47" spans="8:12">
      <c r="H47" s="69" t="s">
        <v>179</v>
      </c>
      <c r="I47" s="150">
        <v>5602</v>
      </c>
      <c r="J47" s="25"/>
    </row>
    <row r="48" spans="8:12" ht="16">
      <c r="H48" s="70" t="s">
        <v>180</v>
      </c>
      <c r="I48" s="61"/>
      <c r="J48" s="25"/>
    </row>
    <row r="49" spans="8:12">
      <c r="H49" s="69" t="s">
        <v>181</v>
      </c>
      <c r="I49" s="99">
        <v>7.0000000000000007E-2</v>
      </c>
      <c r="J49" s="25"/>
    </row>
    <row r="50" spans="8:12">
      <c r="H50" s="69" t="s">
        <v>182</v>
      </c>
      <c r="I50" s="99">
        <v>0.13500000000000001</v>
      </c>
      <c r="J50" s="25"/>
    </row>
    <row r="51" spans="8:12">
      <c r="H51" s="69" t="s">
        <v>183</v>
      </c>
      <c r="I51" s="99">
        <v>0.19</v>
      </c>
      <c r="J51" s="25"/>
    </row>
    <row r="52" spans="8:12">
      <c r="H52" s="69" t="s">
        <v>184</v>
      </c>
      <c r="I52" s="99">
        <v>0.23</v>
      </c>
      <c r="J52" s="25"/>
    </row>
    <row r="53" spans="8:12" ht="16">
      <c r="H53" s="70" t="s">
        <v>185</v>
      </c>
      <c r="I53" s="71"/>
      <c r="J53" s="25"/>
    </row>
    <row r="54" spans="8:12">
      <c r="H54" s="69" t="s">
        <v>181</v>
      </c>
      <c r="I54" s="99">
        <v>3.2000000000000001E-2</v>
      </c>
      <c r="J54" s="25"/>
    </row>
    <row r="55" spans="8:12">
      <c r="H55" s="69" t="s">
        <v>182</v>
      </c>
      <c r="I55" s="99">
        <v>5.7000000000000002E-2</v>
      </c>
      <c r="J55" s="25"/>
    </row>
    <row r="56" spans="8:12">
      <c r="H56" s="69" t="s">
        <v>183</v>
      </c>
      <c r="I56" s="99">
        <v>0.08</v>
      </c>
      <c r="J56" s="25"/>
    </row>
    <row r="57" spans="8:12">
      <c r="H57" s="69" t="s">
        <v>184</v>
      </c>
      <c r="I57" s="100">
        <v>9.5000000000000001E-2</v>
      </c>
      <c r="J57" s="25"/>
    </row>
    <row r="58" spans="8:12" ht="16">
      <c r="H58" s="72" t="s">
        <v>186</v>
      </c>
      <c r="I58" s="108">
        <f>0.5*IF(K15&lt;I39,(I41+I42),IF(K15&lt;I40,(I41+I42-(K15-I39)*I50),(I41+I42-(I40-I39)*I50-(K15-I40)*I55)))</f>
        <v>4117.9399999999996</v>
      </c>
      <c r="L58" s="25"/>
    </row>
    <row r="59" spans="8:12" ht="16">
      <c r="H59" s="73" t="s">
        <v>187</v>
      </c>
      <c r="I59" s="109">
        <f>0.5*IF(K15&lt;I44,(I46+I47),IF(K15&lt;I45,(I46+I47-(K15-I44)*I50),(I46+I47-(I45-I44)*I50-(K15-I45)*I55)))</f>
        <v>4295.165</v>
      </c>
      <c r="L59" s="25"/>
    </row>
    <row r="60" spans="8:12">
      <c r="H60" s="60" t="s">
        <v>188</v>
      </c>
      <c r="I60" s="110">
        <f>(I41+I42-(I40-I39)*I50)/I55+I40</f>
        <v>191958.28070175438</v>
      </c>
      <c r="J60" s="25"/>
    </row>
    <row r="61" spans="8:12" ht="16" thickBot="1">
      <c r="H61" s="62" t="s">
        <v>189</v>
      </c>
      <c r="I61" s="111">
        <f>(I46+I47-(I45-I44)*I50)/I55+I45</f>
        <v>196192.49122807017</v>
      </c>
      <c r="J61" s="25"/>
      <c r="L61" s="80"/>
    </row>
    <row r="62" spans="8:12" ht="16" thickBot="1"/>
    <row r="63" spans="8:12">
      <c r="H63" s="416" t="s">
        <v>90</v>
      </c>
      <c r="I63" s="417"/>
      <c r="J63" s="25"/>
      <c r="K63" s="25"/>
    </row>
    <row r="64" spans="8:12" s="25" customFormat="1">
      <c r="H64" s="152" t="s">
        <v>282</v>
      </c>
      <c r="I64" s="153"/>
    </row>
    <row r="65" spans="8:12">
      <c r="H65" s="20" t="s">
        <v>190</v>
      </c>
      <c r="I65" s="154">
        <v>284</v>
      </c>
      <c r="J65" s="25"/>
      <c r="K65" s="25"/>
      <c r="L65" s="25" t="s">
        <v>274</v>
      </c>
    </row>
    <row r="66" spans="8:12">
      <c r="H66" s="20" t="s">
        <v>273</v>
      </c>
      <c r="I66" s="154">
        <v>284</v>
      </c>
      <c r="J66" s="25"/>
      <c r="K66" s="25"/>
      <c r="L66" s="142" t="s">
        <v>275</v>
      </c>
    </row>
    <row r="67" spans="8:12">
      <c r="H67" s="20" t="s">
        <v>191</v>
      </c>
      <c r="I67" s="154">
        <v>149</v>
      </c>
      <c r="J67" s="25"/>
      <c r="K67" s="25"/>
    </row>
    <row r="68" spans="8:12">
      <c r="H68" s="20" t="s">
        <v>325</v>
      </c>
      <c r="I68" s="154">
        <v>36976</v>
      </c>
      <c r="J68" s="25"/>
      <c r="K68" s="25"/>
    </row>
    <row r="69" spans="8:12">
      <c r="H69" s="20" t="s">
        <v>192</v>
      </c>
      <c r="I69" s="155">
        <v>0.05</v>
      </c>
      <c r="J69" s="25"/>
      <c r="K69" s="25"/>
    </row>
    <row r="70" spans="8:12" s="25" customFormat="1">
      <c r="H70" s="152" t="s">
        <v>283</v>
      </c>
      <c r="I70" s="155"/>
    </row>
    <row r="71" spans="8:12" s="25" customFormat="1">
      <c r="H71" s="20" t="s">
        <v>190</v>
      </c>
      <c r="I71" s="154">
        <v>290</v>
      </c>
    </row>
    <row r="72" spans="8:12" s="25" customFormat="1">
      <c r="H72" s="20" t="s">
        <v>273</v>
      </c>
      <c r="I72" s="154">
        <v>290</v>
      </c>
    </row>
    <row r="73" spans="8:12" s="25" customFormat="1">
      <c r="H73" s="20" t="s">
        <v>191</v>
      </c>
      <c r="I73" s="154">
        <v>153</v>
      </c>
    </row>
    <row r="74" spans="8:12" s="25" customFormat="1">
      <c r="H74" s="20" t="s">
        <v>325</v>
      </c>
      <c r="I74" s="154">
        <v>37789</v>
      </c>
    </row>
    <row r="75" spans="8:12" s="25" customFormat="1">
      <c r="H75" s="20" t="s">
        <v>192</v>
      </c>
      <c r="I75" s="155">
        <v>0.05</v>
      </c>
    </row>
    <row r="76" spans="8:12">
      <c r="H76" s="20" t="s">
        <v>284</v>
      </c>
      <c r="I76" s="156">
        <f>MAX(0,(I65+I66+(I67*C24))-IF(K15&lt;I68,0,((K15-I68)*I69)))</f>
        <v>0</v>
      </c>
      <c r="J76" s="25"/>
      <c r="K76" s="25"/>
    </row>
    <row r="77" spans="8:12" s="25" customFormat="1">
      <c r="H77" s="157" t="s">
        <v>285</v>
      </c>
      <c r="I77" s="156">
        <f>MAX(0,(I71+I72+(I73*C24))-IF(K15&lt;I74,0,((K15-I74)*I75)))</f>
        <v>0</v>
      </c>
    </row>
    <row r="78" spans="8:12" ht="16" thickBot="1">
      <c r="H78" s="25"/>
      <c r="I78" s="25"/>
      <c r="J78" s="25"/>
      <c r="K78" s="25"/>
    </row>
    <row r="79" spans="8:12">
      <c r="H79" s="416" t="s">
        <v>112</v>
      </c>
      <c r="I79" s="417"/>
      <c r="J79" s="25"/>
      <c r="K79" s="25"/>
    </row>
    <row r="80" spans="8:12">
      <c r="H80" s="60" t="s">
        <v>322</v>
      </c>
      <c r="I80" s="104">
        <v>35000</v>
      </c>
      <c r="J80" s="25"/>
      <c r="K80" s="25"/>
      <c r="L80" t="s">
        <v>266</v>
      </c>
    </row>
    <row r="81" spans="8:12">
      <c r="H81" s="60" t="s">
        <v>193</v>
      </c>
      <c r="I81" s="104">
        <v>300</v>
      </c>
      <c r="J81" s="25"/>
      <c r="K81" s="25"/>
      <c r="L81" s="25" t="s">
        <v>267</v>
      </c>
    </row>
    <row r="82" spans="8:12">
      <c r="H82" s="60" t="s">
        <v>315</v>
      </c>
      <c r="I82" s="104">
        <v>600</v>
      </c>
      <c r="J82" s="25"/>
      <c r="K82" s="25"/>
    </row>
    <row r="83" spans="8:12">
      <c r="H83" s="60" t="s">
        <v>194</v>
      </c>
      <c r="I83" s="104">
        <v>600</v>
      </c>
      <c r="J83" s="25"/>
      <c r="K83" s="25"/>
    </row>
    <row r="84" spans="8:12">
      <c r="H84" s="60" t="s">
        <v>195</v>
      </c>
      <c r="I84" s="104">
        <v>100</v>
      </c>
      <c r="J84" s="25"/>
      <c r="K84" s="25"/>
    </row>
    <row r="85" spans="8:12">
      <c r="H85" s="60" t="s">
        <v>196</v>
      </c>
      <c r="I85" s="105">
        <v>0.02</v>
      </c>
      <c r="J85" s="25"/>
      <c r="K85" s="25"/>
    </row>
    <row r="86" spans="8:12" ht="16" thickBot="1">
      <c r="H86" s="62" t="s">
        <v>197</v>
      </c>
      <c r="I86" s="112">
        <f>MAX(0,IF(K15&lt;I80,I82+I84*C24,(I82+I84*C24)-I85*(K15-I80)))</f>
        <v>336.76</v>
      </c>
      <c r="K86" s="25"/>
      <c r="L86" s="25"/>
    </row>
    <row r="88" spans="8:12">
      <c r="H88" s="418"/>
      <c r="I88" s="418"/>
    </row>
    <row r="89" spans="8:12">
      <c r="H89" s="55"/>
      <c r="I89" s="55"/>
    </row>
  </sheetData>
  <mergeCells count="7">
    <mergeCell ref="H79:I79"/>
    <mergeCell ref="H88:I88"/>
    <mergeCell ref="B23:C23"/>
    <mergeCell ref="H22:I22"/>
    <mergeCell ref="H29:I29"/>
    <mergeCell ref="H37:I37"/>
    <mergeCell ref="H63:I63"/>
  </mergeCells>
  <hyperlinks>
    <hyperlink ref="L66" r:id="rId1" xr:uid="{2E4F88C6-5834-2A43-981D-62C4980C739A}"/>
    <hyperlink ref="L45" r:id="rId2" xr:uid="{49CA54F9-A9BB-9A4F-92AB-A0918E770014}"/>
  </hyperlinks>
  <pageMargins left="0.7" right="0.7" top="0.75" bottom="0.75" header="0.3" footer="0.3"/>
  <pageSetup orientation="portrait" horizontalDpi="0" verticalDpi="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6"/>
  <sheetViews>
    <sheetView topLeftCell="A50" zoomScale="140" zoomScaleNormal="140" workbookViewId="0">
      <selection activeCell="C54" sqref="C54"/>
    </sheetView>
  </sheetViews>
  <sheetFormatPr baseColWidth="10" defaultColWidth="8.83203125" defaultRowHeight="15"/>
  <cols>
    <col min="2" max="2" width="34.33203125" customWidth="1"/>
    <col min="3" max="3" width="10.1640625" bestFit="1" customWidth="1"/>
    <col min="7" max="7" width="47.83203125" customWidth="1"/>
    <col min="8" max="8" width="9.1640625" bestFit="1" customWidth="1"/>
  </cols>
  <sheetData>
    <row r="1" spans="1:9">
      <c r="A1" s="25" t="s">
        <v>199</v>
      </c>
      <c r="B1" s="25"/>
      <c r="C1" s="25"/>
      <c r="D1" s="25"/>
      <c r="E1" s="25"/>
    </row>
    <row r="2" spans="1:9">
      <c r="A2" s="26" t="s">
        <v>200</v>
      </c>
      <c r="B2" s="25"/>
      <c r="C2" s="25"/>
      <c r="D2" s="25"/>
      <c r="E2" s="25"/>
    </row>
    <row r="3" spans="1:9" ht="16" thickBot="1">
      <c r="A3" s="25"/>
      <c r="B3" s="25"/>
      <c r="C3" s="25"/>
      <c r="D3" s="25"/>
      <c r="E3" s="25"/>
    </row>
    <row r="4" spans="1:9" s="263" customFormat="1" ht="49" thickBot="1">
      <c r="B4" s="264" t="s">
        <v>28</v>
      </c>
      <c r="C4" s="265">
        <f>'2020 Living Wage Income'!B37</f>
        <v>19.55</v>
      </c>
      <c r="D4" s="266" t="s">
        <v>279</v>
      </c>
      <c r="G4" s="267" t="s">
        <v>297</v>
      </c>
    </row>
    <row r="5" spans="1:9" ht="16" thickBot="1">
      <c r="A5" s="25"/>
      <c r="B5" s="25"/>
      <c r="C5" s="25"/>
      <c r="D5" s="25"/>
      <c r="E5" s="25"/>
      <c r="I5" s="89"/>
    </row>
    <row r="6" spans="1:9" s="25" customFormat="1">
      <c r="B6" s="250" t="s">
        <v>232</v>
      </c>
      <c r="C6" s="256" t="s">
        <v>25</v>
      </c>
      <c r="D6" s="257" t="s">
        <v>26</v>
      </c>
      <c r="E6" s="37"/>
      <c r="F6" s="37"/>
      <c r="G6" s="37"/>
    </row>
    <row r="7" spans="1:9">
      <c r="A7" s="25"/>
      <c r="B7" s="251" t="s">
        <v>201</v>
      </c>
      <c r="C7" s="249">
        <v>1.5800000000000002E-2</v>
      </c>
      <c r="D7" s="252">
        <f>C7</f>
        <v>1.5800000000000002E-2</v>
      </c>
      <c r="E7" s="37"/>
      <c r="F7" s="37"/>
      <c r="G7" s="37"/>
      <c r="I7" s="25"/>
    </row>
    <row r="8" spans="1:9" s="25" customFormat="1" ht="16" thickBot="1">
      <c r="B8" s="253" t="s">
        <v>231</v>
      </c>
      <c r="C8" s="254">
        <f>$C$7*'2020 Living Wage Income'!B38</f>
        <v>562.1798</v>
      </c>
      <c r="D8" s="255">
        <f>$C$7*'2020 Living Wage Income'!C38</f>
        <v>562.1798</v>
      </c>
      <c r="E8" s="37"/>
      <c r="F8" s="37"/>
      <c r="G8" s="37"/>
    </row>
    <row r="9" spans="1:9" ht="16" thickBot="1">
      <c r="A9" s="25"/>
      <c r="B9" s="25"/>
      <c r="C9" s="25"/>
      <c r="D9" s="25"/>
      <c r="E9" s="25"/>
    </row>
    <row r="10" spans="1:9">
      <c r="A10" s="25"/>
      <c r="B10" s="75" t="s">
        <v>202</v>
      </c>
      <c r="C10" s="256" t="s">
        <v>25</v>
      </c>
      <c r="D10" s="257" t="s">
        <v>26</v>
      </c>
      <c r="E10" s="25"/>
    </row>
    <row r="11" spans="1:9">
      <c r="A11" s="25"/>
      <c r="B11" s="60" t="s">
        <v>203</v>
      </c>
      <c r="C11" s="113">
        <v>5.2499999999999998E-2</v>
      </c>
      <c r="D11" s="113">
        <f>C11</f>
        <v>5.2499999999999998E-2</v>
      </c>
      <c r="E11" s="25"/>
    </row>
    <row r="12" spans="1:9">
      <c r="A12" s="25"/>
      <c r="B12" s="60" t="s">
        <v>204</v>
      </c>
      <c r="C12" s="114">
        <v>3500</v>
      </c>
      <c r="D12" s="114">
        <f>C12</f>
        <v>3500</v>
      </c>
      <c r="E12" s="25"/>
    </row>
    <row r="13" spans="1:9" s="25" customFormat="1" ht="16" thickBot="1">
      <c r="B13" s="78" t="s">
        <v>230</v>
      </c>
      <c r="C13" s="115">
        <f>('2020 Living Wage Income'!B38-$C$12)*$C$11</f>
        <v>1684.2524999999998</v>
      </c>
      <c r="D13" s="116">
        <f>('2020 Living Wage Income'!C38-$C$12)*$C$11</f>
        <v>1684.2524999999998</v>
      </c>
    </row>
    <row r="14" spans="1:9" ht="16" thickBot="1">
      <c r="A14" s="25"/>
      <c r="B14" s="25"/>
      <c r="C14" s="25"/>
      <c r="D14" s="25"/>
      <c r="E14" s="25"/>
    </row>
    <row r="15" spans="1:9">
      <c r="A15" s="25"/>
      <c r="B15" s="75" t="s">
        <v>205</v>
      </c>
      <c r="C15" s="58" t="s">
        <v>206</v>
      </c>
      <c r="D15" s="59" t="s">
        <v>207</v>
      </c>
      <c r="E15" s="25"/>
    </row>
    <row r="16" spans="1:9">
      <c r="A16" s="25"/>
      <c r="B16" s="60" t="s">
        <v>208</v>
      </c>
      <c r="C16" s="259">
        <v>10264</v>
      </c>
      <c r="D16" s="126">
        <v>12069</v>
      </c>
      <c r="E16" s="25"/>
    </row>
    <row r="17" spans="1:7">
      <c r="A17" s="25"/>
      <c r="B17" s="60" t="s">
        <v>209</v>
      </c>
      <c r="C17" s="120">
        <v>9588</v>
      </c>
      <c r="D17" s="258" t="s">
        <v>293</v>
      </c>
      <c r="E17" s="25"/>
    </row>
    <row r="18" spans="1:7">
      <c r="A18" s="25"/>
      <c r="B18" s="60" t="s">
        <v>210</v>
      </c>
      <c r="C18" s="120">
        <v>5012</v>
      </c>
      <c r="D18" s="101">
        <v>7494</v>
      </c>
      <c r="E18" s="25"/>
    </row>
    <row r="19" spans="1:7">
      <c r="A19" s="25"/>
      <c r="B19" s="60" t="s">
        <v>211</v>
      </c>
      <c r="C19" s="120">
        <v>8310</v>
      </c>
      <c r="D19" s="101">
        <v>8416</v>
      </c>
      <c r="E19" s="25"/>
    </row>
    <row r="20" spans="1:7">
      <c r="A20" s="25"/>
      <c r="B20" s="60" t="s">
        <v>212</v>
      </c>
      <c r="C20" s="128">
        <v>0.03</v>
      </c>
      <c r="D20" s="127">
        <v>0.03</v>
      </c>
      <c r="E20" s="25"/>
    </row>
    <row r="21" spans="1:7">
      <c r="A21" s="25"/>
      <c r="B21" s="60" t="s">
        <v>213</v>
      </c>
      <c r="C21" s="113">
        <v>9.2999999999999999E-2</v>
      </c>
      <c r="D21" s="127">
        <v>0.15</v>
      </c>
      <c r="E21" s="25"/>
    </row>
    <row r="22" spans="1:7" ht="16" thickBot="1">
      <c r="A22" s="25"/>
      <c r="B22" s="62" t="s">
        <v>214</v>
      </c>
      <c r="C22" s="260" t="s">
        <v>293</v>
      </c>
      <c r="D22" s="137">
        <v>1222</v>
      </c>
      <c r="E22" s="25"/>
    </row>
    <row r="23" spans="1:7" ht="16" thickBot="1">
      <c r="A23" s="25"/>
      <c r="B23" s="25"/>
      <c r="C23" s="25"/>
      <c r="D23" s="25"/>
      <c r="E23" s="25"/>
    </row>
    <row r="24" spans="1:7">
      <c r="A24" s="25"/>
      <c r="B24" s="261" t="s">
        <v>294</v>
      </c>
      <c r="C24" s="77"/>
      <c r="D24" s="25"/>
      <c r="E24" s="25"/>
    </row>
    <row r="25" spans="1:7">
      <c r="A25" s="25"/>
      <c r="B25" s="60" t="s">
        <v>215</v>
      </c>
      <c r="C25" s="101">
        <v>17130</v>
      </c>
      <c r="D25" s="25"/>
      <c r="E25" s="25"/>
    </row>
    <row r="26" spans="1:7">
      <c r="A26" s="25"/>
      <c r="B26" s="60" t="s">
        <v>216</v>
      </c>
      <c r="C26" s="106">
        <v>0.03</v>
      </c>
      <c r="D26" s="25"/>
      <c r="E26" s="25"/>
    </row>
    <row r="27" spans="1:7">
      <c r="A27" s="25"/>
      <c r="B27" s="60" t="s">
        <v>217</v>
      </c>
      <c r="C27" s="101">
        <v>1332.9</v>
      </c>
      <c r="D27" s="25"/>
      <c r="E27" s="25"/>
    </row>
    <row r="28" spans="1:7" s="25" customFormat="1" ht="16" thickBot="1">
      <c r="B28" s="78" t="s">
        <v>236</v>
      </c>
      <c r="C28" s="74">
        <f>C27-('2020 Living Wage Income'!D40-C25)*C26</f>
        <v>101.94000000000005</v>
      </c>
      <c r="G28" s="25" t="s">
        <v>299</v>
      </c>
    </row>
    <row r="29" spans="1:7" ht="16" thickBot="1">
      <c r="A29" s="25"/>
      <c r="B29" s="25"/>
      <c r="C29" s="25"/>
      <c r="D29" s="25"/>
      <c r="E29" s="25"/>
    </row>
    <row r="30" spans="1:7">
      <c r="A30" s="25"/>
      <c r="B30" s="75" t="s">
        <v>218</v>
      </c>
      <c r="C30" s="76"/>
      <c r="D30" s="77"/>
      <c r="E30" s="25"/>
    </row>
    <row r="31" spans="1:7">
      <c r="A31" s="25"/>
      <c r="B31" s="60" t="s">
        <v>219</v>
      </c>
      <c r="C31" s="37" t="s">
        <v>220</v>
      </c>
      <c r="D31" s="61" t="s">
        <v>221</v>
      </c>
      <c r="E31" s="25"/>
    </row>
    <row r="32" spans="1:7">
      <c r="A32" s="25"/>
      <c r="B32" s="117">
        <v>0</v>
      </c>
      <c r="C32" s="124">
        <v>43401</v>
      </c>
      <c r="D32" s="118">
        <v>9.6799999999999997E-2</v>
      </c>
      <c r="G32" s="25" t="s">
        <v>222</v>
      </c>
    </row>
    <row r="33" spans="1:7">
      <c r="A33" s="25"/>
      <c r="B33" s="125">
        <f>C32</f>
        <v>43401</v>
      </c>
      <c r="C33" s="120">
        <v>86803</v>
      </c>
      <c r="D33" s="99">
        <v>0.1482</v>
      </c>
      <c r="E33" s="25"/>
    </row>
    <row r="34" spans="1:7">
      <c r="A34" s="25"/>
      <c r="B34" s="119">
        <f>C33</f>
        <v>86803</v>
      </c>
      <c r="C34" s="120">
        <v>141122</v>
      </c>
      <c r="D34" s="99">
        <v>0.16520000000000001</v>
      </c>
      <c r="E34" s="25"/>
    </row>
    <row r="35" spans="1:7">
      <c r="A35" s="25"/>
      <c r="B35" s="119">
        <f>C34</f>
        <v>141122</v>
      </c>
      <c r="C35" s="120">
        <v>160776</v>
      </c>
      <c r="D35" s="99">
        <v>0.1784</v>
      </c>
      <c r="E35" s="25"/>
    </row>
    <row r="36" spans="1:7" ht="16" thickBot="1">
      <c r="A36" s="25"/>
      <c r="B36" s="121">
        <f>C35</f>
        <v>160776</v>
      </c>
      <c r="C36" s="122"/>
      <c r="D36" s="123">
        <v>0.20300000000000001</v>
      </c>
      <c r="E36" s="25"/>
    </row>
    <row r="37" spans="1:7" ht="16" thickBot="1">
      <c r="A37" s="25"/>
      <c r="B37" s="25"/>
      <c r="C37" s="25"/>
      <c r="D37" s="25"/>
      <c r="E37" s="25"/>
    </row>
    <row r="38" spans="1:7">
      <c r="A38" s="25"/>
      <c r="B38" s="75" t="s">
        <v>223</v>
      </c>
      <c r="C38" s="76"/>
      <c r="D38" s="77"/>
      <c r="E38" s="25"/>
    </row>
    <row r="39" spans="1:7">
      <c r="A39" s="25"/>
      <c r="B39" s="60" t="s">
        <v>219</v>
      </c>
      <c r="C39" s="37" t="s">
        <v>220</v>
      </c>
      <c r="D39" s="61" t="s">
        <v>221</v>
      </c>
      <c r="E39" s="25"/>
    </row>
    <row r="40" spans="1:7">
      <c r="A40" s="25"/>
      <c r="B40" s="117">
        <v>0</v>
      </c>
      <c r="C40" s="114">
        <v>48535</v>
      </c>
      <c r="D40" s="118">
        <v>0.15</v>
      </c>
      <c r="G40" s="25" t="s">
        <v>222</v>
      </c>
    </row>
    <row r="41" spans="1:7">
      <c r="A41" s="25"/>
      <c r="B41" s="119">
        <f>C40</f>
        <v>48535</v>
      </c>
      <c r="C41" s="120">
        <v>97069</v>
      </c>
      <c r="D41" s="99">
        <v>0.20499999999999999</v>
      </c>
      <c r="E41" s="25"/>
    </row>
    <row r="42" spans="1:7">
      <c r="A42" s="25"/>
      <c r="B42" s="119">
        <f>C41</f>
        <v>97069</v>
      </c>
      <c r="C42" s="120">
        <v>150473</v>
      </c>
      <c r="D42" s="99">
        <v>0.26</v>
      </c>
      <c r="E42" s="25"/>
    </row>
    <row r="43" spans="1:7">
      <c r="A43" s="25"/>
      <c r="B43" s="119">
        <f>C42</f>
        <v>150473</v>
      </c>
      <c r="C43" s="120">
        <v>214368</v>
      </c>
      <c r="D43" s="99">
        <v>0.28999999999999998</v>
      </c>
      <c r="E43" s="25"/>
    </row>
    <row r="44" spans="1:7" ht="16" thickBot="1">
      <c r="A44" s="25"/>
      <c r="B44" s="121">
        <f>C43</f>
        <v>214368</v>
      </c>
      <c r="C44" s="122"/>
      <c r="D44" s="123">
        <v>0.33</v>
      </c>
      <c r="E44" s="25"/>
    </row>
    <row r="45" spans="1:7" ht="16" thickBot="1">
      <c r="A45" s="25"/>
      <c r="B45" s="25"/>
      <c r="C45" s="25"/>
      <c r="D45" s="25"/>
      <c r="E45" s="25"/>
    </row>
    <row r="46" spans="1:7">
      <c r="A46" s="25"/>
      <c r="B46" s="75" t="s">
        <v>295</v>
      </c>
      <c r="C46" s="77"/>
      <c r="D46" s="25"/>
      <c r="E46" s="25"/>
    </row>
    <row r="47" spans="1:7">
      <c r="A47" s="25"/>
      <c r="B47" s="60" t="s">
        <v>224</v>
      </c>
      <c r="C47" s="126">
        <v>3000</v>
      </c>
      <c r="D47" s="25"/>
      <c r="E47" s="25"/>
      <c r="G47" t="s">
        <v>298</v>
      </c>
    </row>
    <row r="48" spans="1:7">
      <c r="A48" s="25"/>
      <c r="B48" s="60" t="s">
        <v>225</v>
      </c>
      <c r="C48" s="127">
        <v>0.26</v>
      </c>
      <c r="D48" s="25"/>
      <c r="E48" s="25"/>
    </row>
    <row r="49" spans="1:13">
      <c r="A49" s="25"/>
      <c r="B49" s="60" t="s">
        <v>226</v>
      </c>
      <c r="C49" s="126">
        <v>2335</v>
      </c>
      <c r="D49" s="25"/>
      <c r="E49" s="25"/>
    </row>
    <row r="50" spans="1:13">
      <c r="A50" s="25"/>
      <c r="B50" s="60" t="s">
        <v>227</v>
      </c>
      <c r="C50" s="126">
        <v>36483</v>
      </c>
      <c r="D50" s="25"/>
      <c r="E50" s="25"/>
    </row>
    <row r="51" spans="1:13">
      <c r="A51" s="25"/>
      <c r="B51" s="60" t="s">
        <v>314</v>
      </c>
      <c r="C51" s="126">
        <v>17025</v>
      </c>
      <c r="D51" s="25"/>
      <c r="E51" s="25"/>
    </row>
    <row r="52" spans="1:13">
      <c r="A52" s="25"/>
      <c r="B52" s="60" t="s">
        <v>228</v>
      </c>
      <c r="C52" s="127">
        <v>0.12</v>
      </c>
      <c r="D52" s="25"/>
      <c r="E52" s="25"/>
    </row>
    <row r="53" spans="1:13" ht="16" thickBot="1">
      <c r="A53" s="25"/>
      <c r="B53" s="62" t="s">
        <v>229</v>
      </c>
      <c r="C53" s="74">
        <f>IF('2020 Living Wage Income'!D38&lt;C50,(MIN(C48*('2020 Living Wage Income'!D38-C47),C49)-C52*('2020 Living Wage Income'!D40-C51)),0)</f>
        <v>0</v>
      </c>
      <c r="D53" s="25" t="s">
        <v>237</v>
      </c>
      <c r="H53" s="140"/>
      <c r="I53" s="140"/>
      <c r="J53" s="140"/>
      <c r="K53" s="262"/>
      <c r="M53" s="140"/>
    </row>
    <row r="54" spans="1:13" ht="16" thickBot="1">
      <c r="A54" s="25"/>
      <c r="B54" s="25"/>
      <c r="C54" s="25"/>
      <c r="D54" s="25"/>
      <c r="E54" s="25"/>
    </row>
    <row r="55" spans="1:13">
      <c r="B55" s="312" t="s">
        <v>296</v>
      </c>
      <c r="C55" s="274"/>
    </row>
    <row r="56" spans="1:13">
      <c r="B56" s="313" t="s">
        <v>234</v>
      </c>
      <c r="C56" s="314">
        <v>8000</v>
      </c>
    </row>
    <row r="57" spans="1:13">
      <c r="B57" s="313" t="s">
        <v>235</v>
      </c>
      <c r="C57" s="315">
        <v>5000</v>
      </c>
    </row>
    <row r="58" spans="1:13" ht="16" thickBot="1">
      <c r="B58" s="316" t="s">
        <v>244</v>
      </c>
      <c r="C58" s="317">
        <v>13000</v>
      </c>
    </row>
    <row r="60" spans="1:13" ht="16" thickBot="1"/>
    <row r="61" spans="1:13">
      <c r="B61" s="423" t="s">
        <v>0</v>
      </c>
      <c r="C61" s="424"/>
      <c r="D61" s="1"/>
      <c r="E61" s="9"/>
    </row>
    <row r="62" spans="1:13">
      <c r="B62" s="318"/>
      <c r="C62" s="319"/>
      <c r="D62" s="1"/>
      <c r="E62" s="9"/>
    </row>
    <row r="63" spans="1:13">
      <c r="B63" s="320" t="s">
        <v>4</v>
      </c>
      <c r="C63" s="321">
        <v>8000</v>
      </c>
      <c r="D63" s="1"/>
      <c r="E63" s="9"/>
    </row>
    <row r="64" spans="1:13">
      <c r="B64" s="320" t="s">
        <v>6</v>
      </c>
      <c r="C64" s="321">
        <v>5000</v>
      </c>
      <c r="D64" s="1"/>
      <c r="E64" s="9"/>
    </row>
    <row r="65" spans="2:5" ht="16" thickBot="1">
      <c r="B65" s="322"/>
      <c r="C65" s="323">
        <f>SUM(C63:C64)</f>
        <v>13000</v>
      </c>
      <c r="D65" s="4"/>
      <c r="E65" s="9"/>
    </row>
    <row r="66" spans="2:5" ht="16" thickBot="1">
      <c r="B66" s="9"/>
      <c r="C66" s="9"/>
      <c r="D66" s="1"/>
      <c r="E66" s="9"/>
    </row>
    <row r="67" spans="2:5" ht="17" thickBot="1">
      <c r="B67" s="427" t="s">
        <v>233</v>
      </c>
      <c r="C67" s="428"/>
      <c r="D67" s="326"/>
      <c r="E67" s="15"/>
    </row>
    <row r="68" spans="2:5">
      <c r="B68" s="425" t="s">
        <v>25</v>
      </c>
      <c r="C68" s="426"/>
      <c r="D68" s="9"/>
      <c r="E68" s="9"/>
    </row>
    <row r="69" spans="2:5">
      <c r="B69" s="328" t="s">
        <v>305</v>
      </c>
      <c r="C69" s="324">
        <f>C65</f>
        <v>13000</v>
      </c>
      <c r="D69" s="9"/>
      <c r="E69" s="9"/>
    </row>
    <row r="70" spans="2:5">
      <c r="B70" s="328" t="s">
        <v>304</v>
      </c>
      <c r="C70" s="325">
        <f>'2020 Living Wage Income'!C11-'2020 Living Wage Income'!B40*'Table IV - Taxes and Credits'!D20</f>
        <v>1438.5300000000002</v>
      </c>
      <c r="D70" s="9"/>
      <c r="E70" s="9"/>
    </row>
    <row r="71" spans="2:5">
      <c r="B71" s="328" t="s">
        <v>303</v>
      </c>
      <c r="C71" s="325">
        <f>'2020 Living Wage Income'!C11-'2020 Living Wage Income'!B40*'Table IV - Taxes and Credits'!C20</f>
        <v>1438.5300000000002</v>
      </c>
      <c r="D71" s="9"/>
      <c r="E71" s="9"/>
    </row>
    <row r="72" spans="2:5" ht="16" thickBot="1">
      <c r="B72" s="329" t="s">
        <v>16</v>
      </c>
      <c r="C72" s="330">
        <f>SUM(C69:C71)</f>
        <v>15877.060000000001</v>
      </c>
      <c r="D72" s="9"/>
      <c r="E72" s="9"/>
    </row>
    <row r="73" spans="2:5">
      <c r="B73" s="425" t="s">
        <v>26</v>
      </c>
      <c r="C73" s="426"/>
      <c r="D73" s="9"/>
      <c r="E73" s="9"/>
    </row>
    <row r="74" spans="2:5">
      <c r="B74" s="328" t="s">
        <v>306</v>
      </c>
      <c r="C74" s="169">
        <f>'Family Expenses'!B40*6</f>
        <v>990</v>
      </c>
      <c r="D74" s="9"/>
      <c r="E74" s="9"/>
    </row>
    <row r="75" spans="2:5">
      <c r="B75" s="328" t="s">
        <v>307</v>
      </c>
      <c r="C75" s="169">
        <f>'Family Expenses'!B40*6</f>
        <v>990</v>
      </c>
      <c r="D75" s="9"/>
      <c r="E75" s="9"/>
    </row>
    <row r="76" spans="2:5" ht="16" thickBot="1">
      <c r="B76" s="327" t="s">
        <v>16</v>
      </c>
      <c r="C76" s="331">
        <f>SUM(C74:C75)</f>
        <v>1980</v>
      </c>
      <c r="D76" s="9"/>
      <c r="E76" s="9"/>
    </row>
  </sheetData>
  <mergeCells count="4">
    <mergeCell ref="B61:C61"/>
    <mergeCell ref="B68:C68"/>
    <mergeCell ref="B73:C73"/>
    <mergeCell ref="B67:C6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6"/>
  <sheetViews>
    <sheetView workbookViewId="0">
      <selection activeCell="K22" sqref="K22"/>
    </sheetView>
  </sheetViews>
  <sheetFormatPr baseColWidth="10" defaultColWidth="8.83203125" defaultRowHeight="15"/>
  <cols>
    <col min="1" max="1" width="26.83203125" customWidth="1"/>
    <col min="2" max="2" width="27.5" customWidth="1"/>
    <col min="3" max="3" width="8.83203125" style="25"/>
    <col min="5" max="5" width="10.6640625" customWidth="1"/>
    <col min="6" max="6" width="12.6640625" customWidth="1"/>
    <col min="7" max="7" width="9.1640625" bestFit="1" customWidth="1"/>
  </cols>
  <sheetData>
    <row r="1" spans="1:10">
      <c r="A1" s="25" t="s">
        <v>123</v>
      </c>
      <c r="B1" s="25"/>
      <c r="D1" s="25"/>
      <c r="E1" s="25"/>
      <c r="F1" s="25"/>
    </row>
    <row r="2" spans="1:10">
      <c r="A2" s="25" t="s">
        <v>44</v>
      </c>
      <c r="B2" s="25"/>
      <c r="D2" s="25"/>
      <c r="E2" s="25"/>
      <c r="F2" s="25"/>
    </row>
    <row r="3" spans="1:10">
      <c r="A3" s="25" t="s">
        <v>45</v>
      </c>
      <c r="B3" s="25"/>
      <c r="D3" s="25"/>
      <c r="E3" s="25"/>
      <c r="F3" s="25"/>
    </row>
    <row r="4" spans="1:10">
      <c r="A4" s="25" t="s">
        <v>67</v>
      </c>
      <c r="B4" s="25" t="s">
        <v>46</v>
      </c>
      <c r="C4" s="25">
        <v>2016</v>
      </c>
      <c r="D4" s="25">
        <v>2017</v>
      </c>
      <c r="E4" s="25">
        <v>2018</v>
      </c>
      <c r="F4" s="25">
        <v>2019</v>
      </c>
    </row>
    <row r="5" spans="1:10">
      <c r="A5" s="25" t="s">
        <v>92</v>
      </c>
      <c r="B5" s="25" t="s">
        <v>68</v>
      </c>
      <c r="C5" s="25">
        <v>128.19999999999999</v>
      </c>
      <c r="D5" s="25">
        <v>131.19999999999999</v>
      </c>
      <c r="E5" s="25">
        <v>134</v>
      </c>
      <c r="F5" s="25">
        <v>136.30000000000001</v>
      </c>
      <c r="I5" s="25"/>
    </row>
    <row r="6" spans="1:10">
      <c r="A6" s="25" t="s">
        <v>92</v>
      </c>
      <c r="B6" s="25" t="s">
        <v>48</v>
      </c>
      <c r="C6" s="25">
        <v>150.6</v>
      </c>
      <c r="D6" s="25">
        <v>148.6</v>
      </c>
      <c r="E6" s="25">
        <v>150.6</v>
      </c>
      <c r="F6" s="25">
        <v>155.6</v>
      </c>
      <c r="H6" s="25"/>
      <c r="I6" s="25"/>
    </row>
    <row r="7" spans="1:10">
      <c r="A7" s="25" t="s">
        <v>92</v>
      </c>
      <c r="B7" s="25" t="s">
        <v>49</v>
      </c>
      <c r="C7" s="25">
        <v>131.69999999999999</v>
      </c>
      <c r="D7" s="25">
        <v>134.6</v>
      </c>
      <c r="E7" s="25">
        <v>137.5</v>
      </c>
      <c r="F7" s="25">
        <v>140.19999999999999</v>
      </c>
      <c r="H7" s="25"/>
      <c r="I7" s="25"/>
    </row>
    <row r="8" spans="1:10">
      <c r="A8" s="25" t="s">
        <v>92</v>
      </c>
      <c r="B8" s="25" t="s">
        <v>129</v>
      </c>
      <c r="C8" s="25">
        <v>114.4</v>
      </c>
      <c r="D8" s="25">
        <v>115.2</v>
      </c>
      <c r="E8" s="25">
        <v>116.5</v>
      </c>
      <c r="F8" s="25">
        <v>118</v>
      </c>
      <c r="H8" s="25"/>
      <c r="I8" s="25"/>
    </row>
    <row r="9" spans="1:10">
      <c r="A9" s="25" t="s">
        <v>92</v>
      </c>
      <c r="B9" s="25" t="s">
        <v>130</v>
      </c>
      <c r="C9" s="25">
        <v>114.6</v>
      </c>
      <c r="D9" s="25">
        <v>115.2</v>
      </c>
      <c r="E9" s="25">
        <v>116.5</v>
      </c>
      <c r="F9" s="25">
        <v>117.9</v>
      </c>
      <c r="G9" s="21"/>
      <c r="H9" s="25"/>
      <c r="I9" s="25"/>
    </row>
    <row r="10" spans="1:10">
      <c r="A10" s="25" t="s">
        <v>92</v>
      </c>
      <c r="B10" s="25" t="s">
        <v>50</v>
      </c>
      <c r="C10" s="25">
        <v>97.9</v>
      </c>
      <c r="D10" s="25">
        <v>100.4</v>
      </c>
      <c r="E10" s="25">
        <v>100.9</v>
      </c>
      <c r="F10" s="25">
        <v>101.4</v>
      </c>
      <c r="H10" s="25"/>
      <c r="I10" s="25"/>
      <c r="J10" s="25"/>
    </row>
    <row r="11" spans="1:10">
      <c r="A11" s="25" t="s">
        <v>92</v>
      </c>
      <c r="B11" s="25" t="s">
        <v>9</v>
      </c>
      <c r="C11" s="25">
        <v>122.2</v>
      </c>
      <c r="D11" s="25">
        <v>127.8</v>
      </c>
      <c r="E11" s="25">
        <v>132.9</v>
      </c>
      <c r="F11" s="25">
        <v>135.6</v>
      </c>
      <c r="H11" s="25"/>
      <c r="I11" s="25"/>
    </row>
    <row r="12" spans="1:10">
      <c r="A12" s="25" t="s">
        <v>92</v>
      </c>
      <c r="B12" s="25" t="s">
        <v>69</v>
      </c>
      <c r="C12" s="25">
        <v>135.30000000000001</v>
      </c>
      <c r="D12" s="25">
        <v>144</v>
      </c>
      <c r="E12" s="25">
        <v>152.69999999999999</v>
      </c>
      <c r="F12" s="25">
        <v>154.19999999999999</v>
      </c>
      <c r="H12" s="25"/>
      <c r="I12" s="25"/>
    </row>
    <row r="13" spans="1:10">
      <c r="A13" s="25" t="s">
        <v>92</v>
      </c>
      <c r="B13" s="25" t="s">
        <v>51</v>
      </c>
      <c r="C13" s="25">
        <v>133.30000000000001</v>
      </c>
      <c r="D13" s="25">
        <v>147.19999999999999</v>
      </c>
      <c r="E13" s="25">
        <v>162.19999999999999</v>
      </c>
      <c r="F13" s="25">
        <v>159.19999999999999</v>
      </c>
      <c r="H13" s="25"/>
      <c r="I13" s="25"/>
    </row>
    <row r="14" spans="1:10">
      <c r="A14" s="25" t="s">
        <v>92</v>
      </c>
      <c r="B14" s="25" t="s">
        <v>52</v>
      </c>
      <c r="C14" s="25">
        <v>113.5</v>
      </c>
      <c r="D14" s="25">
        <v>115.9</v>
      </c>
      <c r="E14" s="25">
        <v>117.7</v>
      </c>
      <c r="F14" s="25">
        <v>118.6</v>
      </c>
      <c r="H14" s="25"/>
      <c r="I14" s="25"/>
    </row>
    <row r="15" spans="1:10">
      <c r="A15" s="25" t="s">
        <v>92</v>
      </c>
      <c r="B15" s="25" t="s">
        <v>53</v>
      </c>
      <c r="C15" s="25">
        <v>113.2</v>
      </c>
      <c r="D15" s="25">
        <v>117.5</v>
      </c>
      <c r="E15" s="25">
        <v>119.6</v>
      </c>
      <c r="F15" s="25">
        <v>123.2</v>
      </c>
      <c r="H15" s="25"/>
      <c r="I15" s="25"/>
    </row>
    <row r="16" spans="1:10">
      <c r="A16" s="25" t="s">
        <v>92</v>
      </c>
      <c r="B16" s="25" t="s">
        <v>54</v>
      </c>
      <c r="C16" s="25">
        <v>180.6</v>
      </c>
      <c r="D16" s="25">
        <v>196.8</v>
      </c>
      <c r="E16" s="25">
        <v>204</v>
      </c>
      <c r="F16" s="25">
        <v>207</v>
      </c>
      <c r="H16" s="25"/>
      <c r="I16" s="25"/>
    </row>
    <row r="17" spans="1:9">
      <c r="A17" s="25" t="s">
        <v>92</v>
      </c>
      <c r="B17" s="25" t="s">
        <v>55</v>
      </c>
      <c r="C17" s="25">
        <v>120.3</v>
      </c>
      <c r="D17" s="25">
        <v>123.2</v>
      </c>
      <c r="E17" s="25">
        <v>125.3</v>
      </c>
      <c r="F17" s="25">
        <v>127.4</v>
      </c>
      <c r="H17" s="25"/>
      <c r="I17" s="25"/>
    </row>
    <row r="18" spans="1:9">
      <c r="A18" s="25" t="s">
        <v>92</v>
      </c>
      <c r="B18" s="25" t="s">
        <v>56</v>
      </c>
      <c r="C18" s="25">
        <v>125.9</v>
      </c>
      <c r="D18" s="25">
        <v>128.1</v>
      </c>
      <c r="E18" s="25">
        <v>130.1</v>
      </c>
      <c r="F18" s="25">
        <v>132.69999999999999</v>
      </c>
      <c r="H18" s="25"/>
      <c r="I18" s="25"/>
    </row>
    <row r="19" spans="1:9">
      <c r="A19" s="25" t="s">
        <v>92</v>
      </c>
      <c r="B19" s="25" t="s">
        <v>57</v>
      </c>
      <c r="C19" s="25">
        <v>142.4</v>
      </c>
      <c r="D19" s="25">
        <v>152.9</v>
      </c>
      <c r="E19" s="25">
        <v>162.9</v>
      </c>
      <c r="F19" s="25">
        <v>163</v>
      </c>
      <c r="H19" s="25"/>
      <c r="I19" s="25"/>
    </row>
    <row r="20" spans="1:9" s="25" customFormat="1">
      <c r="A20" s="25" t="s">
        <v>92</v>
      </c>
      <c r="B20" s="25" t="s">
        <v>58</v>
      </c>
      <c r="C20" s="25">
        <v>123.8</v>
      </c>
      <c r="D20" s="25">
        <v>126.5</v>
      </c>
      <c r="E20" s="25">
        <v>129.1</v>
      </c>
      <c r="F20" s="25">
        <v>131.4</v>
      </c>
    </row>
    <row r="21" spans="1:9" s="25" customFormat="1">
      <c r="A21" s="25" t="s">
        <v>92</v>
      </c>
      <c r="B21" s="25" t="s">
        <v>59</v>
      </c>
      <c r="C21" s="25">
        <v>133.9</v>
      </c>
      <c r="D21" s="25">
        <v>137.30000000000001</v>
      </c>
      <c r="E21" s="25">
        <v>140.4</v>
      </c>
      <c r="F21" s="25">
        <v>142.5</v>
      </c>
    </row>
    <row r="22" spans="1:9" s="25" customFormat="1">
      <c r="A22" s="25" t="s">
        <v>124</v>
      </c>
      <c r="B22" s="25" t="s">
        <v>68</v>
      </c>
      <c r="C22" s="25">
        <v>128</v>
      </c>
      <c r="D22" s="25">
        <v>131.1</v>
      </c>
      <c r="E22" s="25">
        <v>133.9</v>
      </c>
      <c r="F22" s="25">
        <v>136.19999999999999</v>
      </c>
    </row>
    <row r="23" spans="1:9">
      <c r="A23" s="25" t="s">
        <v>124</v>
      </c>
      <c r="B23" s="25" t="s">
        <v>49</v>
      </c>
      <c r="C23" s="25">
        <v>134.30000000000001</v>
      </c>
      <c r="D23" s="25">
        <v>137</v>
      </c>
      <c r="E23" s="25">
        <v>139.69999999999999</v>
      </c>
      <c r="F23" s="25">
        <v>142.69999999999999</v>
      </c>
      <c r="H23" s="25"/>
    </row>
    <row r="24" spans="1:9">
      <c r="A24" s="25" t="s">
        <v>124</v>
      </c>
      <c r="B24" s="25" t="s">
        <v>129</v>
      </c>
      <c r="C24" s="25">
        <v>118.4</v>
      </c>
      <c r="D24" s="25">
        <v>119.1</v>
      </c>
      <c r="E24" s="25">
        <v>119.7</v>
      </c>
      <c r="F24" s="25">
        <v>121.4</v>
      </c>
      <c r="H24" s="25"/>
    </row>
    <row r="25" spans="1:9">
      <c r="A25" s="25" t="s">
        <v>60</v>
      </c>
      <c r="B25" s="25"/>
      <c r="D25" s="25"/>
      <c r="E25" s="25"/>
      <c r="F25" s="25"/>
    </row>
    <row r="26" spans="1:9">
      <c r="A26" s="25">
        <v>2</v>
      </c>
      <c r="B26" s="25" t="s">
        <v>61</v>
      </c>
      <c r="D26" s="25"/>
      <c r="E26" s="25"/>
      <c r="F26" s="25"/>
    </row>
    <row r="27" spans="1:9">
      <c r="A27" s="25">
        <v>9</v>
      </c>
      <c r="B27" s="25" t="s">
        <v>125</v>
      </c>
      <c r="D27" s="25"/>
      <c r="E27" s="25"/>
      <c r="F27" s="25"/>
    </row>
    <row r="28" spans="1:9">
      <c r="A28" s="25">
        <v>11</v>
      </c>
      <c r="B28" s="25" t="s">
        <v>70</v>
      </c>
      <c r="D28" s="25"/>
      <c r="E28" s="25"/>
      <c r="F28" s="25"/>
    </row>
    <row r="29" spans="1:9">
      <c r="A29" s="25">
        <v>15</v>
      </c>
      <c r="B29" s="25" t="s">
        <v>71</v>
      </c>
      <c r="D29" s="25"/>
      <c r="E29" s="25"/>
      <c r="F29" s="25"/>
    </row>
    <row r="30" spans="1:9">
      <c r="A30" s="25">
        <v>17</v>
      </c>
      <c r="B30" s="25" t="s">
        <v>62</v>
      </c>
      <c r="D30" s="25"/>
      <c r="E30" s="25"/>
      <c r="F30" s="25"/>
    </row>
    <row r="31" spans="1:9">
      <c r="A31" s="25">
        <v>18</v>
      </c>
      <c r="B31" s="25" t="s">
        <v>126</v>
      </c>
      <c r="D31" s="25"/>
      <c r="E31" s="25"/>
      <c r="F31" s="25"/>
    </row>
    <row r="32" spans="1:9">
      <c r="A32" s="25">
        <v>25</v>
      </c>
      <c r="B32" s="25" t="s">
        <v>127</v>
      </c>
      <c r="D32" s="25"/>
      <c r="E32" s="25"/>
      <c r="F32" s="25"/>
    </row>
    <row r="33" spans="1:6">
      <c r="A33" s="25">
        <v>27</v>
      </c>
      <c r="B33" s="25" t="s">
        <v>63</v>
      </c>
      <c r="D33" s="25"/>
      <c r="E33" s="25"/>
      <c r="F33" s="25"/>
    </row>
    <row r="34" spans="1:6">
      <c r="A34" s="25">
        <v>28</v>
      </c>
      <c r="B34" s="25" t="s">
        <v>64</v>
      </c>
      <c r="D34" s="25"/>
      <c r="E34" s="25"/>
      <c r="F34" s="25"/>
    </row>
    <row r="35" spans="1:6">
      <c r="A35" s="25">
        <v>32</v>
      </c>
      <c r="B35" s="25" t="s">
        <v>131</v>
      </c>
      <c r="D35" s="25"/>
    </row>
    <row r="36" spans="1:6">
      <c r="A36" s="25" t="s">
        <v>65</v>
      </c>
      <c r="B36" s="25"/>
      <c r="D36" s="25"/>
    </row>
    <row r="37" spans="1:6">
      <c r="A37" s="25" t="s">
        <v>66</v>
      </c>
      <c r="B37" s="25"/>
      <c r="D37" s="25"/>
    </row>
    <row r="38" spans="1:6">
      <c r="A38" s="25" t="s">
        <v>253</v>
      </c>
      <c r="B38" s="25"/>
    </row>
    <row r="39" spans="1:6">
      <c r="A39" s="25" t="s">
        <v>60</v>
      </c>
      <c r="B39" s="25"/>
    </row>
    <row r="40" spans="1:6">
      <c r="A40" s="25">
        <v>1</v>
      </c>
      <c r="B40" s="25" t="s">
        <v>61</v>
      </c>
    </row>
    <row r="41" spans="1:6">
      <c r="A41" s="25">
        <v>2</v>
      </c>
      <c r="B41" s="25" t="s">
        <v>254</v>
      </c>
    </row>
    <row r="42" spans="1:6">
      <c r="A42" s="25">
        <v>3</v>
      </c>
      <c r="B42" s="25" t="s">
        <v>255</v>
      </c>
    </row>
    <row r="43" spans="1:6">
      <c r="A43" s="25">
        <v>4</v>
      </c>
      <c r="B43" s="25" t="s">
        <v>70</v>
      </c>
    </row>
    <row r="44" spans="1:6">
      <c r="A44" s="25">
        <v>5</v>
      </c>
      <c r="B44" s="25" t="s">
        <v>62</v>
      </c>
    </row>
    <row r="45" spans="1:6">
      <c r="A45" s="25">
        <v>6</v>
      </c>
      <c r="B45" s="25" t="s">
        <v>126</v>
      </c>
    </row>
    <row r="46" spans="1:6">
      <c r="A46" s="25">
        <v>7</v>
      </c>
      <c r="B46" s="25" t="s">
        <v>256</v>
      </c>
    </row>
    <row r="47" spans="1:6">
      <c r="A47" s="25">
        <v>8</v>
      </c>
      <c r="B47" s="25" t="s">
        <v>127</v>
      </c>
    </row>
    <row r="48" spans="1:6">
      <c r="A48" s="25">
        <v>9</v>
      </c>
      <c r="B48" s="25" t="s">
        <v>63</v>
      </c>
    </row>
    <row r="49" spans="1:2">
      <c r="A49" s="25">
        <v>10</v>
      </c>
      <c r="B49" s="25" t="s">
        <v>64</v>
      </c>
    </row>
    <row r="50" spans="1:2">
      <c r="A50" s="25">
        <v>11</v>
      </c>
      <c r="B50" s="25"/>
    </row>
    <row r="51" spans="1:2">
      <c r="A51" s="25"/>
      <c r="B51" s="25"/>
    </row>
    <row r="52" spans="1:2">
      <c r="A52" s="25"/>
      <c r="B52" s="25"/>
    </row>
    <row r="53" spans="1:2">
      <c r="A53" s="25"/>
      <c r="B53" s="25"/>
    </row>
    <row r="54" spans="1:2">
      <c r="A54" s="25"/>
      <c r="B54" s="25"/>
    </row>
    <row r="55" spans="1:2">
      <c r="A55" s="25"/>
      <c r="B55" s="25"/>
    </row>
    <row r="56" spans="1:2">
      <c r="A56" s="25"/>
      <c r="B56" s="25"/>
    </row>
    <row r="57" spans="1:2">
      <c r="A57" s="25"/>
      <c r="B57" s="25"/>
    </row>
    <row r="58" spans="1:2">
      <c r="A58" s="25"/>
      <c r="B58" s="25"/>
    </row>
    <row r="59" spans="1:2">
      <c r="A59" s="25"/>
      <c r="B59" s="25"/>
    </row>
    <row r="60" spans="1:2">
      <c r="A60" s="25"/>
      <c r="B60" s="25"/>
    </row>
    <row r="61" spans="1:2">
      <c r="A61" s="25"/>
      <c r="B61" s="25"/>
    </row>
    <row r="62" spans="1:2">
      <c r="A62" s="25"/>
      <c r="B62" s="25"/>
    </row>
    <row r="63" spans="1:2">
      <c r="A63" s="25"/>
      <c r="B63" s="25"/>
    </row>
    <row r="64" spans="1:2">
      <c r="A64" s="25"/>
      <c r="B64" s="25"/>
    </row>
    <row r="65" spans="1:2">
      <c r="A65" s="25"/>
      <c r="B65" s="25"/>
    </row>
    <row r="66" spans="1:2">
      <c r="A66" s="25"/>
      <c r="B66"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4"/>
  <sheetViews>
    <sheetView topLeftCell="A18" workbookViewId="0">
      <selection activeCell="A54" sqref="A54"/>
    </sheetView>
  </sheetViews>
  <sheetFormatPr baseColWidth="10" defaultColWidth="8.83203125" defaultRowHeight="15"/>
  <cols>
    <col min="1" max="1" width="35.5" customWidth="1"/>
    <col min="2" max="2" width="15.1640625" bestFit="1" customWidth="1"/>
    <col min="3" max="3" width="11.5" style="25" bestFit="1" customWidth="1"/>
    <col min="4" max="6" width="11.5" style="25" customWidth="1"/>
    <col min="7" max="7" width="15.5" customWidth="1"/>
    <col min="8" max="8" width="15.6640625" customWidth="1"/>
    <col min="9" max="9" width="11.1640625" bestFit="1" customWidth="1"/>
  </cols>
  <sheetData>
    <row r="1" spans="1:11">
      <c r="A1" s="26" t="s">
        <v>122</v>
      </c>
      <c r="B1" s="25"/>
    </row>
    <row r="2" spans="1:11">
      <c r="A2" s="25" t="s">
        <v>44</v>
      </c>
      <c r="B2" s="25"/>
    </row>
    <row r="3" spans="1:11">
      <c r="A3" s="25" t="s">
        <v>72</v>
      </c>
      <c r="B3" s="25"/>
    </row>
    <row r="4" spans="1:11" ht="16" thickBot="1">
      <c r="A4" s="25" t="s">
        <v>73</v>
      </c>
      <c r="B4" s="25"/>
      <c r="D4" s="25" t="s">
        <v>128</v>
      </c>
      <c r="E4" s="25" t="s">
        <v>128</v>
      </c>
      <c r="F4" s="25" t="s">
        <v>128</v>
      </c>
      <c r="H4" t="s">
        <v>257</v>
      </c>
      <c r="I4" t="s">
        <v>128</v>
      </c>
      <c r="K4" s="89" t="s">
        <v>259</v>
      </c>
    </row>
    <row r="5" spans="1:11" ht="16">
      <c r="A5" s="236" t="s">
        <v>93</v>
      </c>
      <c r="B5" s="237" t="s">
        <v>47</v>
      </c>
      <c r="C5" s="238">
        <v>2016</v>
      </c>
      <c r="D5" s="238">
        <v>2017</v>
      </c>
      <c r="E5" s="238">
        <v>2018</v>
      </c>
      <c r="F5" s="238">
        <v>2019</v>
      </c>
      <c r="G5" s="237" t="s">
        <v>47</v>
      </c>
      <c r="H5" s="238">
        <v>2018</v>
      </c>
      <c r="I5" s="239">
        <v>2019</v>
      </c>
    </row>
    <row r="6" spans="1:11" ht="16">
      <c r="A6" s="429" t="s">
        <v>94</v>
      </c>
      <c r="B6" s="229" t="s">
        <v>74</v>
      </c>
      <c r="C6" s="230">
        <v>38598</v>
      </c>
      <c r="D6" s="230"/>
      <c r="E6" s="230"/>
      <c r="F6" s="230"/>
      <c r="G6" s="229" t="s">
        <v>74</v>
      </c>
      <c r="H6" s="230">
        <f>SUM(H7:H11)</f>
        <v>40766</v>
      </c>
      <c r="I6" s="240"/>
    </row>
    <row r="7" spans="1:11" ht="16">
      <c r="A7" s="430"/>
      <c r="B7" s="79" t="s">
        <v>5</v>
      </c>
      <c r="C7" s="226">
        <v>13113</v>
      </c>
      <c r="D7" s="226"/>
      <c r="E7" s="226"/>
      <c r="F7" s="226"/>
      <c r="G7" s="79" t="s">
        <v>5</v>
      </c>
      <c r="H7" s="226">
        <v>12563</v>
      </c>
      <c r="I7" s="241"/>
    </row>
    <row r="8" spans="1:11" ht="16">
      <c r="A8" s="430"/>
      <c r="B8" s="79" t="s">
        <v>75</v>
      </c>
      <c r="C8" s="226">
        <v>2163</v>
      </c>
      <c r="D8" s="226"/>
      <c r="E8" s="226"/>
      <c r="F8" s="226"/>
      <c r="G8" s="79" t="s">
        <v>75</v>
      </c>
      <c r="H8" s="226">
        <v>2422</v>
      </c>
      <c r="I8" s="241"/>
    </row>
    <row r="9" spans="1:11" ht="16">
      <c r="A9" s="430"/>
      <c r="B9" s="79" t="s">
        <v>9</v>
      </c>
      <c r="C9" s="226">
        <v>4889</v>
      </c>
      <c r="D9" s="226"/>
      <c r="E9" s="226"/>
      <c r="F9" s="226"/>
      <c r="G9" s="79" t="s">
        <v>9</v>
      </c>
      <c r="H9" s="226">
        <v>4563</v>
      </c>
      <c r="I9" s="241"/>
    </row>
    <row r="10" spans="1:11" ht="16">
      <c r="A10" s="430"/>
      <c r="B10" s="79" t="s">
        <v>8</v>
      </c>
      <c r="C10" s="226">
        <v>6921</v>
      </c>
      <c r="D10" s="226"/>
      <c r="E10" s="226"/>
      <c r="F10" s="226"/>
      <c r="G10" s="79" t="s">
        <v>8</v>
      </c>
      <c r="H10" s="226">
        <v>9019</v>
      </c>
      <c r="I10" s="241"/>
    </row>
    <row r="11" spans="1:11" ht="16">
      <c r="A11" s="430"/>
      <c r="B11" s="79" t="s">
        <v>76</v>
      </c>
      <c r="C11" s="226">
        <v>11513</v>
      </c>
      <c r="D11" s="226"/>
      <c r="E11" s="226"/>
      <c r="F11" s="226"/>
      <c r="G11" s="79" t="s">
        <v>76</v>
      </c>
      <c r="H11" s="226">
        <v>12199</v>
      </c>
      <c r="I11" s="241"/>
    </row>
    <row r="12" spans="1:11" ht="16">
      <c r="A12" s="432" t="s">
        <v>95</v>
      </c>
      <c r="B12" s="229" t="s">
        <v>74</v>
      </c>
      <c r="C12" s="230">
        <v>39171</v>
      </c>
      <c r="D12" s="230"/>
      <c r="E12" s="230"/>
      <c r="F12" s="230"/>
      <c r="G12" s="229" t="s">
        <v>74</v>
      </c>
      <c r="H12" s="230">
        <f>SUM(H13:H17)</f>
        <v>42284</v>
      </c>
      <c r="I12" s="240"/>
    </row>
    <row r="13" spans="1:11" ht="16">
      <c r="A13" s="433"/>
      <c r="B13" s="79" t="s">
        <v>5</v>
      </c>
      <c r="C13" s="226">
        <v>13113</v>
      </c>
      <c r="D13" s="226"/>
      <c r="E13" s="226"/>
      <c r="F13" s="226"/>
      <c r="G13" s="79" t="s">
        <v>5</v>
      </c>
      <c r="H13" s="226">
        <v>12563</v>
      </c>
      <c r="I13" s="241"/>
    </row>
    <row r="14" spans="1:11" ht="16">
      <c r="A14" s="433"/>
      <c r="B14" s="79" t="s">
        <v>75</v>
      </c>
      <c r="C14" s="226">
        <v>2163</v>
      </c>
      <c r="D14" s="226"/>
      <c r="E14" s="226"/>
      <c r="F14" s="226"/>
      <c r="G14" s="79" t="s">
        <v>75</v>
      </c>
      <c r="H14" s="226">
        <v>2422</v>
      </c>
      <c r="I14" s="241"/>
    </row>
    <row r="15" spans="1:11" ht="16">
      <c r="A15" s="433"/>
      <c r="B15" s="224" t="s">
        <v>9</v>
      </c>
      <c r="C15" s="227">
        <v>4889</v>
      </c>
      <c r="D15" s="227">
        <f>C15*(CPI!D12/CPI!C12)</f>
        <v>5203.3702882483367</v>
      </c>
      <c r="E15" s="227">
        <f>$C$15*(CPI!E12/CPI!C12)</f>
        <v>5517.7405764966734</v>
      </c>
      <c r="F15" s="227">
        <f>$C$15*(CPI!F12/CPI!D12)</f>
        <v>5235.3041666666668</v>
      </c>
      <c r="G15" s="224" t="s">
        <v>9</v>
      </c>
      <c r="H15" s="227">
        <v>4563</v>
      </c>
      <c r="I15" s="242">
        <f>H15*CPI!F12/CPI!E12</f>
        <v>4607.8231827111986</v>
      </c>
    </row>
    <row r="16" spans="1:11" ht="16">
      <c r="A16" s="433"/>
      <c r="B16" s="79" t="s">
        <v>8</v>
      </c>
      <c r="C16" s="226">
        <v>7494</v>
      </c>
      <c r="D16" s="226"/>
      <c r="E16" s="226"/>
      <c r="F16" s="226"/>
      <c r="G16" s="79" t="s">
        <v>8</v>
      </c>
      <c r="H16" s="226">
        <v>10537</v>
      </c>
      <c r="I16" s="241"/>
    </row>
    <row r="17" spans="1:16" ht="16">
      <c r="A17" s="434"/>
      <c r="B17" s="231" t="s">
        <v>76</v>
      </c>
      <c r="C17" s="232">
        <v>11513</v>
      </c>
      <c r="D17" s="232"/>
      <c r="E17" s="233"/>
      <c r="F17" s="233"/>
      <c r="G17" s="231" t="s">
        <v>76</v>
      </c>
      <c r="H17" s="232">
        <v>12199</v>
      </c>
      <c r="I17" s="243"/>
    </row>
    <row r="18" spans="1:16" ht="16">
      <c r="A18" s="429" t="s">
        <v>96</v>
      </c>
      <c r="B18" s="229" t="s">
        <v>74</v>
      </c>
      <c r="C18" s="230">
        <v>38592</v>
      </c>
      <c r="D18" s="230"/>
      <c r="E18" s="230"/>
      <c r="F18" s="230"/>
      <c r="G18" s="229" t="s">
        <v>74</v>
      </c>
      <c r="H18" s="230">
        <f>SUM(H19:H23)</f>
        <v>42058</v>
      </c>
      <c r="I18" s="240"/>
    </row>
    <row r="19" spans="1:16" ht="16">
      <c r="A19" s="430"/>
      <c r="B19" s="79" t="s">
        <v>5</v>
      </c>
      <c r="C19" s="226">
        <v>13113</v>
      </c>
      <c r="D19" s="226"/>
      <c r="E19" s="226"/>
      <c r="F19" s="226"/>
      <c r="G19" s="79" t="s">
        <v>5</v>
      </c>
      <c r="H19" s="226">
        <v>12563</v>
      </c>
      <c r="I19" s="241"/>
    </row>
    <row r="20" spans="1:16" ht="16">
      <c r="A20" s="430"/>
      <c r="B20" s="79" t="s">
        <v>75</v>
      </c>
      <c r="C20" s="226">
        <v>2163</v>
      </c>
      <c r="D20" s="226"/>
      <c r="E20" s="226"/>
      <c r="F20" s="226"/>
      <c r="G20" s="79" t="s">
        <v>75</v>
      </c>
      <c r="H20" s="226">
        <v>2422</v>
      </c>
      <c r="I20" s="241"/>
    </row>
    <row r="21" spans="1:16" ht="16">
      <c r="A21" s="430"/>
      <c r="B21" s="79" t="s">
        <v>9</v>
      </c>
      <c r="C21" s="226">
        <v>4889</v>
      </c>
      <c r="D21" s="226"/>
      <c r="E21" s="226"/>
      <c r="F21" s="226"/>
      <c r="G21" s="79" t="s">
        <v>9</v>
      </c>
      <c r="H21" s="226">
        <v>4563</v>
      </c>
      <c r="I21" s="241"/>
    </row>
    <row r="22" spans="1:16" ht="16">
      <c r="A22" s="430"/>
      <c r="B22" s="79" t="s">
        <v>8</v>
      </c>
      <c r="C22" s="226">
        <v>6914</v>
      </c>
      <c r="D22" s="226"/>
      <c r="E22" s="226"/>
      <c r="F22" s="226"/>
      <c r="G22" s="79" t="s">
        <v>8</v>
      </c>
      <c r="H22" s="226">
        <v>10311</v>
      </c>
      <c r="I22" s="241"/>
    </row>
    <row r="23" spans="1:16" ht="16">
      <c r="A23" s="435"/>
      <c r="B23" s="231" t="s">
        <v>76</v>
      </c>
      <c r="C23" s="232">
        <v>11513</v>
      </c>
      <c r="D23" s="232"/>
      <c r="E23" s="232"/>
      <c r="F23" s="232"/>
      <c r="G23" s="231" t="s">
        <v>76</v>
      </c>
      <c r="H23" s="232">
        <v>12199</v>
      </c>
      <c r="I23" s="243"/>
    </row>
    <row r="24" spans="1:16" ht="16">
      <c r="A24" s="429" t="s">
        <v>97</v>
      </c>
      <c r="B24" s="229" t="s">
        <v>74</v>
      </c>
      <c r="C24" s="230">
        <v>39721</v>
      </c>
      <c r="D24" s="230"/>
      <c r="E24" s="230"/>
      <c r="F24" s="230"/>
      <c r="G24" s="229" t="s">
        <v>74</v>
      </c>
      <c r="H24" s="230">
        <f>SUM(H25:H29)</f>
        <v>43907</v>
      </c>
      <c r="I24" s="240"/>
    </row>
    <row r="25" spans="1:16" ht="16">
      <c r="A25" s="430"/>
      <c r="B25" s="79" t="s">
        <v>5</v>
      </c>
      <c r="C25" s="226">
        <v>13028</v>
      </c>
      <c r="D25" s="226"/>
      <c r="E25" s="226"/>
      <c r="F25" s="226"/>
      <c r="G25" s="79" t="s">
        <v>5</v>
      </c>
      <c r="H25" s="226">
        <v>12499</v>
      </c>
      <c r="I25" s="241"/>
    </row>
    <row r="26" spans="1:16" ht="16">
      <c r="A26" s="430"/>
      <c r="B26" s="79" t="s">
        <v>75</v>
      </c>
      <c r="C26" s="226">
        <v>2163</v>
      </c>
      <c r="D26" s="226"/>
      <c r="E26" s="226"/>
      <c r="F26" s="226"/>
      <c r="G26" s="79" t="s">
        <v>75</v>
      </c>
      <c r="H26" s="226">
        <v>2422</v>
      </c>
      <c r="I26" s="241"/>
    </row>
    <row r="27" spans="1:16" ht="16">
      <c r="A27" s="430"/>
      <c r="B27" s="79" t="s">
        <v>9</v>
      </c>
      <c r="C27" s="226">
        <v>2867</v>
      </c>
      <c r="D27" s="226"/>
      <c r="E27" s="226"/>
      <c r="F27" s="226"/>
      <c r="G27" s="79" t="s">
        <v>9</v>
      </c>
      <c r="H27" s="226">
        <v>3990</v>
      </c>
      <c r="I27" s="241"/>
    </row>
    <row r="28" spans="1:16" ht="16">
      <c r="A28" s="430"/>
      <c r="B28" s="79" t="s">
        <v>8</v>
      </c>
      <c r="C28" s="226">
        <v>10214</v>
      </c>
      <c r="D28" s="226"/>
      <c r="E28" s="226"/>
      <c r="F28" s="226"/>
      <c r="G28" s="79" t="s">
        <v>8</v>
      </c>
      <c r="H28" s="226">
        <v>12845</v>
      </c>
      <c r="I28" s="241"/>
    </row>
    <row r="29" spans="1:16" ht="16">
      <c r="A29" s="435"/>
      <c r="B29" s="231" t="s">
        <v>76</v>
      </c>
      <c r="C29" s="232">
        <v>11449</v>
      </c>
      <c r="D29" s="232"/>
      <c r="E29" s="232"/>
      <c r="F29" s="232"/>
      <c r="G29" s="231" t="s">
        <v>76</v>
      </c>
      <c r="H29" s="232">
        <v>12151</v>
      </c>
      <c r="I29" s="243"/>
      <c r="P29" s="26"/>
    </row>
    <row r="30" spans="1:16" ht="16">
      <c r="A30" s="429" t="s">
        <v>98</v>
      </c>
      <c r="B30" s="234" t="s">
        <v>74</v>
      </c>
      <c r="C30" s="235">
        <v>37143</v>
      </c>
      <c r="D30" s="235"/>
      <c r="E30" s="235"/>
      <c r="F30" s="235"/>
      <c r="G30" s="234" t="s">
        <v>74</v>
      </c>
      <c r="H30" s="235">
        <f>SUM(H31:H35)</f>
        <v>41699</v>
      </c>
      <c r="I30" s="244"/>
    </row>
    <row r="31" spans="1:16" ht="16">
      <c r="A31" s="430"/>
      <c r="B31" s="224" t="s">
        <v>5</v>
      </c>
      <c r="C31" s="227">
        <v>12803</v>
      </c>
      <c r="D31" s="227">
        <f>C31*CPI!D6/CPI!C6</f>
        <v>12632.973439575033</v>
      </c>
      <c r="E31" s="227">
        <f>$C$31*CPI!E6/CPI!C6</f>
        <v>12803</v>
      </c>
      <c r="F31" s="227">
        <f>$C$31*CPI!F6/CPI!D6</f>
        <v>13406.102288021533</v>
      </c>
      <c r="G31" s="224" t="s">
        <v>5</v>
      </c>
      <c r="H31" s="227">
        <v>12198</v>
      </c>
      <c r="I31" s="242">
        <f>H31*(CPI!F6/CPI!E6)</f>
        <v>12602.980079681274</v>
      </c>
    </row>
    <row r="32" spans="1:16" ht="16">
      <c r="A32" s="430"/>
      <c r="B32" s="224" t="s">
        <v>75</v>
      </c>
      <c r="C32" s="227">
        <v>2163</v>
      </c>
      <c r="D32" s="227">
        <f>C32*CPI!D10/CPI!C10</f>
        <v>2218.23493360572</v>
      </c>
      <c r="E32" s="227">
        <f>$C$32*CPI!E7/CPI!C7</f>
        <v>2258.2574031890663</v>
      </c>
      <c r="F32" s="227">
        <f>$C$32*CPI!F7/CPI!D7</f>
        <v>2252.9910846953935</v>
      </c>
      <c r="G32" s="224" t="s">
        <v>75</v>
      </c>
      <c r="H32" s="227">
        <v>2422</v>
      </c>
      <c r="I32" s="242">
        <f>H32*(CPI!F10/CPI!E10)</f>
        <v>2434.0019821605551</v>
      </c>
    </row>
    <row r="33" spans="1:9" ht="16">
      <c r="A33" s="430"/>
      <c r="B33" s="225" t="s">
        <v>9</v>
      </c>
      <c r="C33" s="228">
        <v>2927</v>
      </c>
      <c r="D33" s="228"/>
      <c r="E33" s="228"/>
      <c r="F33" s="228"/>
      <c r="G33" s="225" t="s">
        <v>9</v>
      </c>
      <c r="H33" s="228">
        <v>4004</v>
      </c>
      <c r="I33" s="245"/>
    </row>
    <row r="34" spans="1:9" ht="16">
      <c r="A34" s="430"/>
      <c r="B34" s="225" t="s">
        <v>8</v>
      </c>
      <c r="C34" s="228">
        <v>7971</v>
      </c>
      <c r="D34" s="228"/>
      <c r="E34" s="228"/>
      <c r="F34" s="228"/>
      <c r="G34" s="225" t="s">
        <v>8</v>
      </c>
      <c r="H34" s="228">
        <v>11151</v>
      </c>
      <c r="I34" s="245"/>
    </row>
    <row r="35" spans="1:9" ht="16">
      <c r="A35" s="435"/>
      <c r="B35" s="286" t="s">
        <v>76</v>
      </c>
      <c r="C35" s="287">
        <v>11279</v>
      </c>
      <c r="D35" s="227">
        <f>C35*CPI!D5/CPI!C5</f>
        <v>11542.939157566303</v>
      </c>
      <c r="E35" s="227">
        <f>D35*CPI!E5/CPI!D5</f>
        <v>11789.282371294852</v>
      </c>
      <c r="F35" s="227">
        <f>E35*CPI!F5/CPI!E5</f>
        <v>11991.63572542902</v>
      </c>
      <c r="G35" s="286" t="s">
        <v>76</v>
      </c>
      <c r="H35" s="287">
        <v>11924</v>
      </c>
      <c r="I35" s="242">
        <f>H35*(CPI!F5/CPI!E5)</f>
        <v>12128.665671641791</v>
      </c>
    </row>
    <row r="36" spans="1:9" s="25" customFormat="1" ht="16">
      <c r="A36" s="429" t="s">
        <v>99</v>
      </c>
      <c r="B36" s="229" t="s">
        <v>74</v>
      </c>
      <c r="C36" s="230">
        <v>35698</v>
      </c>
      <c r="D36" s="230"/>
      <c r="E36" s="230"/>
      <c r="F36" s="230"/>
      <c r="G36" s="229" t="s">
        <v>74</v>
      </c>
      <c r="H36" s="230">
        <f>SUM(H37:H41)</f>
        <v>42025</v>
      </c>
      <c r="I36" s="240"/>
    </row>
    <row r="37" spans="1:9" s="25" customFormat="1" ht="16">
      <c r="A37" s="430"/>
      <c r="B37" s="79" t="s">
        <v>5</v>
      </c>
      <c r="C37" s="226">
        <v>11591</v>
      </c>
      <c r="D37" s="226"/>
      <c r="E37" s="226"/>
      <c r="F37" s="226"/>
      <c r="G37" s="79" t="s">
        <v>5</v>
      </c>
      <c r="H37" s="226">
        <v>11757</v>
      </c>
      <c r="I37" s="241"/>
    </row>
    <row r="38" spans="1:9" s="25" customFormat="1" ht="16">
      <c r="A38" s="430"/>
      <c r="B38" s="79" t="s">
        <v>75</v>
      </c>
      <c r="C38" s="226">
        <v>2163</v>
      </c>
      <c r="D38" s="226"/>
      <c r="E38" s="226"/>
      <c r="F38" s="226"/>
      <c r="G38" s="79" t="s">
        <v>75</v>
      </c>
      <c r="H38" s="226">
        <v>2422</v>
      </c>
      <c r="I38" s="241"/>
    </row>
    <row r="39" spans="1:9" s="25" customFormat="1" ht="16">
      <c r="A39" s="430"/>
      <c r="B39" s="79" t="s">
        <v>9</v>
      </c>
      <c r="C39" s="226">
        <v>2339</v>
      </c>
      <c r="D39" s="226"/>
      <c r="E39" s="226"/>
      <c r="F39" s="226"/>
      <c r="G39" s="79" t="s">
        <v>9</v>
      </c>
      <c r="H39" s="226">
        <v>3887</v>
      </c>
      <c r="I39" s="241"/>
    </row>
    <row r="40" spans="1:9" s="25" customFormat="1" ht="16">
      <c r="A40" s="430"/>
      <c r="B40" s="79" t="s">
        <v>8</v>
      </c>
      <c r="C40" s="226">
        <v>9240</v>
      </c>
      <c r="D40" s="226"/>
      <c r="E40" s="226"/>
      <c r="F40" s="226"/>
      <c r="G40" s="79" t="s">
        <v>8</v>
      </c>
      <c r="H40" s="226">
        <v>12368</v>
      </c>
      <c r="I40" s="241"/>
    </row>
    <row r="41" spans="1:9" s="25" customFormat="1" ht="17" thickBot="1">
      <c r="A41" s="431"/>
      <c r="B41" s="246" t="s">
        <v>76</v>
      </c>
      <c r="C41" s="247">
        <v>10366</v>
      </c>
      <c r="D41" s="247"/>
      <c r="E41" s="247"/>
      <c r="F41" s="247"/>
      <c r="G41" s="246" t="s">
        <v>76</v>
      </c>
      <c r="H41" s="247">
        <v>11591</v>
      </c>
      <c r="I41" s="248"/>
    </row>
    <row r="42" spans="1:9" s="25" customFormat="1">
      <c r="A42" s="9"/>
      <c r="B42" s="28"/>
    </row>
    <row r="43" spans="1:9">
      <c r="A43" s="25" t="s">
        <v>60</v>
      </c>
      <c r="B43" s="25"/>
    </row>
    <row r="44" spans="1:9">
      <c r="A44" s="25">
        <v>1</v>
      </c>
      <c r="B44" s="25" t="s">
        <v>77</v>
      </c>
    </row>
    <row r="45" spans="1:9">
      <c r="A45" s="25">
        <v>2</v>
      </c>
      <c r="B45" s="27" t="s">
        <v>78</v>
      </c>
    </row>
    <row r="46" spans="1:9">
      <c r="A46" s="25">
        <v>3</v>
      </c>
      <c r="B46" s="27" t="s">
        <v>79</v>
      </c>
    </row>
    <row r="47" spans="1:9">
      <c r="A47" s="25" t="s">
        <v>326</v>
      </c>
      <c r="B47" s="25"/>
    </row>
    <row r="48" spans="1:9">
      <c r="A48" s="25" t="s">
        <v>327</v>
      </c>
    </row>
    <row r="50" spans="1:2">
      <c r="A50" t="s">
        <v>328</v>
      </c>
    </row>
    <row r="51" spans="1:2">
      <c r="A51" s="466" t="s">
        <v>101</v>
      </c>
    </row>
    <row r="52" spans="1:2">
      <c r="A52" s="466" t="s">
        <v>100</v>
      </c>
    </row>
    <row r="53" spans="1:2">
      <c r="A53" s="26"/>
      <c r="B53" s="25"/>
    </row>
    <row r="54" spans="1:2">
      <c r="B54" s="25"/>
    </row>
  </sheetData>
  <mergeCells count="6">
    <mergeCell ref="A36:A41"/>
    <mergeCell ref="A6:A11"/>
    <mergeCell ref="A12:A17"/>
    <mergeCell ref="A18:A23"/>
    <mergeCell ref="A24:A29"/>
    <mergeCell ref="A30:A35"/>
  </mergeCell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03"/>
  <sheetViews>
    <sheetView tabSelected="1" zoomScaleNormal="100" workbookViewId="0">
      <selection activeCell="S52" sqref="S52"/>
    </sheetView>
  </sheetViews>
  <sheetFormatPr baseColWidth="10" defaultColWidth="8.83203125" defaultRowHeight="15"/>
  <cols>
    <col min="1" max="1" width="52.6640625" style="9" customWidth="1"/>
    <col min="2" max="2" width="12.6640625" style="177" bestFit="1" customWidth="1"/>
    <col min="3" max="3" width="66.1640625" customWidth="1"/>
    <col min="4" max="4" width="10.5" customWidth="1"/>
    <col min="5" max="5" width="11.1640625" customWidth="1"/>
    <col min="6" max="6" width="10.83203125" customWidth="1"/>
    <col min="7" max="7" width="10" customWidth="1"/>
    <col min="8" max="8" width="10.33203125" customWidth="1"/>
    <col min="9" max="9" width="48.33203125" customWidth="1"/>
    <col min="10" max="10" width="8.83203125" customWidth="1"/>
    <col min="12" max="12" width="11" bestFit="1" customWidth="1"/>
    <col min="13" max="13" width="9.33203125" customWidth="1"/>
    <col min="14" max="14" width="8.83203125" customWidth="1"/>
    <col min="18" max="18" width="11.33203125" customWidth="1"/>
  </cols>
  <sheetData>
    <row r="1" spans="1:11" ht="20">
      <c r="A1" s="458" t="s">
        <v>260</v>
      </c>
      <c r="B1" s="458"/>
      <c r="C1" s="467" t="s">
        <v>329</v>
      </c>
      <c r="D1" s="467"/>
      <c r="I1" s="37"/>
      <c r="J1" s="37"/>
      <c r="K1" s="37"/>
    </row>
    <row r="2" spans="1:11" ht="16" thickBot="1">
      <c r="A2" s="5"/>
      <c r="B2" s="34"/>
      <c r="I2" s="37"/>
      <c r="J2" s="37"/>
      <c r="K2" s="37"/>
    </row>
    <row r="3" spans="1:11" ht="16">
      <c r="A3" s="448" t="s">
        <v>311</v>
      </c>
      <c r="B3" s="449"/>
      <c r="I3" s="37"/>
      <c r="J3" s="37"/>
      <c r="K3" s="37"/>
    </row>
    <row r="4" spans="1:11">
      <c r="A4" s="163" t="s">
        <v>276</v>
      </c>
      <c r="B4" s="170">
        <v>900</v>
      </c>
      <c r="C4" s="91"/>
      <c r="I4" s="37"/>
      <c r="J4" s="37"/>
      <c r="K4" s="37"/>
    </row>
    <row r="5" spans="1:11">
      <c r="A5" s="163" t="s">
        <v>80</v>
      </c>
      <c r="B5" s="171">
        <f>300/12</f>
        <v>25</v>
      </c>
      <c r="C5" s="92" t="s">
        <v>330</v>
      </c>
      <c r="D5" s="55"/>
      <c r="E5" s="55"/>
      <c r="I5" s="138"/>
      <c r="J5" s="139"/>
      <c r="K5" s="39"/>
    </row>
    <row r="6" spans="1:11" s="25" customFormat="1">
      <c r="A6" s="168" t="s">
        <v>265</v>
      </c>
      <c r="B6" s="167"/>
      <c r="F6" s="21"/>
      <c r="G6" s="396"/>
      <c r="I6" s="37"/>
      <c r="J6" s="37"/>
      <c r="K6" s="37"/>
    </row>
    <row r="7" spans="1:11" s="25" customFormat="1">
      <c r="A7" s="398" t="s">
        <v>82</v>
      </c>
      <c r="B7" s="172">
        <v>17.2</v>
      </c>
      <c r="C7" s="9" t="s">
        <v>261</v>
      </c>
      <c r="F7" s="21"/>
      <c r="G7" s="396"/>
      <c r="I7" s="37"/>
      <c r="J7" s="37"/>
      <c r="K7" s="37"/>
    </row>
    <row r="8" spans="1:11" s="25" customFormat="1">
      <c r="A8" s="399" t="s">
        <v>83</v>
      </c>
      <c r="B8" s="172">
        <f>0.1028*1500</f>
        <v>154.20000000000002</v>
      </c>
      <c r="C8" s="9"/>
      <c r="F8" s="21"/>
      <c r="G8" s="396"/>
      <c r="I8" s="37"/>
      <c r="J8" s="37"/>
      <c r="K8" s="37"/>
    </row>
    <row r="9" spans="1:11" s="25" customFormat="1">
      <c r="A9" s="399" t="s">
        <v>84</v>
      </c>
      <c r="B9" s="172">
        <f>(B7+B8)*0.15</f>
        <v>25.71</v>
      </c>
      <c r="C9" s="9"/>
      <c r="F9" s="21"/>
      <c r="G9" s="396"/>
      <c r="I9" s="37"/>
      <c r="J9" s="37"/>
      <c r="K9" s="37"/>
    </row>
    <row r="10" spans="1:11" s="25" customFormat="1">
      <c r="A10" s="399" t="s">
        <v>238</v>
      </c>
      <c r="B10" s="172">
        <f>SUM(B7:B9)</f>
        <v>197.11</v>
      </c>
      <c r="C10" s="9"/>
      <c r="E10" s="21"/>
      <c r="F10" s="21"/>
      <c r="G10" s="396"/>
      <c r="I10" s="37"/>
      <c r="J10" s="37"/>
      <c r="K10" s="37"/>
    </row>
    <row r="11" spans="1:11">
      <c r="A11" s="180" t="s">
        <v>121</v>
      </c>
      <c r="B11" s="171">
        <f>64.99*1.15</f>
        <v>74.738499999999988</v>
      </c>
      <c r="C11" s="9" t="s">
        <v>331</v>
      </c>
      <c r="I11" s="37"/>
      <c r="J11" s="37"/>
      <c r="K11" s="37"/>
    </row>
    <row r="12" spans="1:11" s="25" customFormat="1">
      <c r="A12" s="403" t="s">
        <v>313</v>
      </c>
      <c r="B12" s="171">
        <f>60*1.15</f>
        <v>69</v>
      </c>
      <c r="C12" s="9"/>
      <c r="I12" s="37"/>
      <c r="J12" s="37"/>
      <c r="K12" s="37"/>
    </row>
    <row r="13" spans="1:11">
      <c r="A13" s="181" t="s">
        <v>81</v>
      </c>
      <c r="B13" s="173">
        <f>B4+B5+B10+B11+(B12/12)</f>
        <v>1202.5985000000001</v>
      </c>
      <c r="C13" s="25"/>
      <c r="I13" s="37"/>
      <c r="J13" s="37"/>
      <c r="K13" s="37"/>
    </row>
    <row r="14" spans="1:11" ht="16" thickBot="1">
      <c r="A14" s="182" t="s">
        <v>289</v>
      </c>
      <c r="B14" s="174">
        <f>B13*12</f>
        <v>14431.182000000001</v>
      </c>
      <c r="C14" s="25"/>
      <c r="I14" s="37"/>
      <c r="J14" s="37"/>
      <c r="K14" s="37"/>
    </row>
    <row r="15" spans="1:11" s="25" customFormat="1">
      <c r="A15" s="183"/>
      <c r="B15" s="93"/>
      <c r="I15" s="37"/>
      <c r="J15" s="37"/>
      <c r="K15" s="37"/>
    </row>
    <row r="16" spans="1:11" s="25" customFormat="1" ht="16" thickBot="1">
      <c r="A16" s="29"/>
      <c r="B16" s="35"/>
      <c r="I16" s="37"/>
      <c r="J16" s="39"/>
      <c r="K16" s="37"/>
    </row>
    <row r="17" spans="1:11" s="25" customFormat="1" ht="16">
      <c r="A17" s="448" t="s">
        <v>75</v>
      </c>
      <c r="B17" s="449"/>
      <c r="I17" s="166"/>
      <c r="J17" s="139"/>
      <c r="K17" s="39"/>
    </row>
    <row r="18" spans="1:11" s="25" customFormat="1">
      <c r="A18" s="163" t="s">
        <v>262</v>
      </c>
      <c r="B18" s="169">
        <f>MBM!H32</f>
        <v>2422</v>
      </c>
      <c r="I18" s="223"/>
      <c r="J18" s="139"/>
      <c r="K18" s="39"/>
    </row>
    <row r="19" spans="1:11" s="25" customFormat="1">
      <c r="A19" s="165" t="s">
        <v>134</v>
      </c>
      <c r="B19" s="175">
        <f>MBM!I32</f>
        <v>2434.0019821605551</v>
      </c>
      <c r="C19"/>
      <c r="I19" s="37"/>
      <c r="J19" s="39"/>
      <c r="K19" s="37"/>
    </row>
    <row r="20" spans="1:11" s="25" customFormat="1" ht="16" thickBot="1">
      <c r="A20" s="182" t="s">
        <v>81</v>
      </c>
      <c r="B20" s="174">
        <f>B19/12</f>
        <v>202.8334985133796</v>
      </c>
      <c r="I20" s="37"/>
      <c r="J20" s="39"/>
      <c r="K20" s="37"/>
    </row>
    <row r="21" spans="1:11" s="25" customFormat="1">
      <c r="A21" s="158"/>
      <c r="B21" s="93"/>
      <c r="I21" s="37"/>
      <c r="J21" s="39"/>
      <c r="K21" s="37"/>
    </row>
    <row r="22" spans="1:11" s="25" customFormat="1" ht="16" thickBot="1">
      <c r="A22" s="30"/>
      <c r="B22" s="35"/>
      <c r="J22" s="21"/>
    </row>
    <row r="23" spans="1:11" s="25" customFormat="1" ht="16">
      <c r="A23" s="448" t="s">
        <v>138</v>
      </c>
      <c r="B23" s="449"/>
      <c r="C23"/>
    </row>
    <row r="24" spans="1:11" s="25" customFormat="1">
      <c r="A24" s="163" t="s">
        <v>332</v>
      </c>
      <c r="B24" s="191">
        <f>MBM!I35</f>
        <v>12128.665671641791</v>
      </c>
      <c r="C24" s="9"/>
    </row>
    <row r="25" spans="1:11" s="25" customFormat="1">
      <c r="A25" s="184" t="s">
        <v>309</v>
      </c>
      <c r="B25" s="191">
        <f>B24*0.6</f>
        <v>7277.1994029850748</v>
      </c>
    </row>
    <row r="26" spans="1:11">
      <c r="A26" s="163" t="s">
        <v>310</v>
      </c>
      <c r="B26" s="191">
        <f>B24*0.4</f>
        <v>4851.4662686567162</v>
      </c>
      <c r="C26" s="21"/>
    </row>
    <row r="27" spans="1:11" s="25" customFormat="1">
      <c r="A27" s="164" t="s">
        <v>81</v>
      </c>
      <c r="B27" s="176">
        <f>B24/12</f>
        <v>1010.7221393034825</v>
      </c>
      <c r="C27" s="21"/>
    </row>
    <row r="28" spans="1:11" s="25" customFormat="1" ht="16" thickBot="1">
      <c r="A28" s="160" t="s">
        <v>289</v>
      </c>
      <c r="B28" s="162">
        <f>B27*12</f>
        <v>12128.665671641791</v>
      </c>
      <c r="C28" s="21"/>
    </row>
    <row r="29" spans="1:11" s="25" customFormat="1">
      <c r="A29" s="48"/>
      <c r="B29" s="159"/>
      <c r="C29" s="21"/>
    </row>
    <row r="30" spans="1:11" s="25" customFormat="1" ht="16" thickBot="1">
      <c r="A30" s="9"/>
      <c r="B30" s="36"/>
    </row>
    <row r="31" spans="1:11" ht="16">
      <c r="A31" s="448" t="s">
        <v>9</v>
      </c>
      <c r="B31" s="449"/>
      <c r="C31" s="25"/>
    </row>
    <row r="32" spans="1:11" s="25" customFormat="1">
      <c r="A32" s="193" t="s">
        <v>85</v>
      </c>
      <c r="B32" s="194">
        <f>77*12</f>
        <v>924</v>
      </c>
      <c r="C32" s="25" t="s">
        <v>264</v>
      </c>
    </row>
    <row r="33" spans="1:7">
      <c r="A33" s="163" t="s">
        <v>290</v>
      </c>
      <c r="B33" s="194">
        <f>MBM!I15</f>
        <v>4607.8231827111986</v>
      </c>
      <c r="C33" s="25"/>
      <c r="D33" s="25"/>
      <c r="E33" s="25"/>
      <c r="F33" s="25"/>
    </row>
    <row r="34" spans="1:7">
      <c r="A34" s="163" t="s">
        <v>291</v>
      </c>
      <c r="B34" s="194">
        <f>15*4*12</f>
        <v>720</v>
      </c>
      <c r="C34" s="25" t="s">
        <v>330</v>
      </c>
      <c r="D34" s="25"/>
      <c r="E34" s="25"/>
      <c r="F34" s="25"/>
    </row>
    <row r="35" spans="1:7">
      <c r="A35" s="164" t="s">
        <v>81</v>
      </c>
      <c r="B35" s="196">
        <f>B36/12</f>
        <v>520.98526522593318</v>
      </c>
      <c r="C35" s="25"/>
      <c r="D35" s="25"/>
      <c r="E35" s="25"/>
      <c r="F35" s="25"/>
    </row>
    <row r="36" spans="1:7" ht="16" thickBot="1">
      <c r="A36" s="160" t="s">
        <v>289</v>
      </c>
      <c r="B36" s="195">
        <f>SUM(B31:B34)</f>
        <v>6251.8231827111986</v>
      </c>
      <c r="C36" s="25"/>
      <c r="D36" s="25"/>
      <c r="E36" s="25"/>
      <c r="F36" s="25"/>
    </row>
    <row r="37" spans="1:7" s="25" customFormat="1">
      <c r="A37" s="17"/>
      <c r="B37" s="192"/>
    </row>
    <row r="38" spans="1:7" ht="16" thickBot="1">
      <c r="A38" s="17"/>
      <c r="B38" s="36"/>
      <c r="C38" s="25"/>
      <c r="D38" s="25"/>
      <c r="E38" s="25"/>
      <c r="F38" s="25"/>
    </row>
    <row r="39" spans="1:7" ht="16">
      <c r="A39" s="448" t="s">
        <v>13</v>
      </c>
      <c r="B39" s="449"/>
      <c r="C39" s="7"/>
      <c r="D39" s="25"/>
      <c r="E39" s="25"/>
      <c r="F39" s="25"/>
    </row>
    <row r="40" spans="1:7" s="25" customFormat="1">
      <c r="A40" s="163" t="s">
        <v>337</v>
      </c>
      <c r="B40" s="169">
        <f>165*1</f>
        <v>165</v>
      </c>
      <c r="C40" s="11" t="s">
        <v>333</v>
      </c>
    </row>
    <row r="41" spans="1:7" s="25" customFormat="1">
      <c r="A41" s="163" t="s">
        <v>142</v>
      </c>
      <c r="B41" s="169">
        <v>120</v>
      </c>
      <c r="C41" s="11" t="s">
        <v>334</v>
      </c>
    </row>
    <row r="42" spans="1:7">
      <c r="A42" s="163" t="s">
        <v>120</v>
      </c>
      <c r="B42" s="169">
        <f>125*1</f>
        <v>125</v>
      </c>
      <c r="C42" s="11"/>
      <c r="D42" s="25"/>
      <c r="E42" s="25"/>
      <c r="F42" s="25"/>
    </row>
    <row r="43" spans="1:7">
      <c r="A43" s="164" t="s">
        <v>81</v>
      </c>
      <c r="B43" s="175">
        <f>B44/12</f>
        <v>113.33333333333333</v>
      </c>
      <c r="C43" s="11"/>
      <c r="D43" s="25"/>
      <c r="E43" s="25"/>
      <c r="F43" s="25"/>
    </row>
    <row r="44" spans="1:7" ht="16" thickBot="1">
      <c r="A44" s="160" t="s">
        <v>86</v>
      </c>
      <c r="B44" s="197">
        <f>(B40*6)+B41+(B42*2)</f>
        <v>1360</v>
      </c>
      <c r="C44" s="11"/>
      <c r="D44" s="4"/>
      <c r="E44" s="4"/>
      <c r="F44" s="41"/>
      <c r="G44" s="41"/>
    </row>
    <row r="45" spans="1:7" s="25" customFormat="1">
      <c r="A45" s="17"/>
      <c r="B45" s="35"/>
      <c r="C45" s="11"/>
      <c r="D45" s="4"/>
      <c r="E45" s="4"/>
      <c r="F45" s="41"/>
      <c r="G45" s="41"/>
    </row>
    <row r="46" spans="1:7" ht="16" thickBot="1">
      <c r="A46" s="185"/>
      <c r="C46" s="11"/>
      <c r="D46" s="25"/>
      <c r="E46" s="25"/>
      <c r="F46" s="25"/>
    </row>
    <row r="47" spans="1:7" ht="16">
      <c r="A47" s="464" t="s">
        <v>10</v>
      </c>
      <c r="B47" s="465"/>
      <c r="C47" s="11"/>
      <c r="D47" s="25"/>
      <c r="F47" s="25"/>
    </row>
    <row r="48" spans="1:7" s="25" customFormat="1">
      <c r="A48" s="200" t="s">
        <v>132</v>
      </c>
      <c r="B48" s="169">
        <f>I64</f>
        <v>8856.84</v>
      </c>
      <c r="C48" s="9" t="s">
        <v>272</v>
      </c>
    </row>
    <row r="49" spans="1:19" s="25" customFormat="1" ht="16" thickBot="1">
      <c r="A49" s="200" t="s">
        <v>87</v>
      </c>
      <c r="B49" s="169">
        <f>I69</f>
        <v>4777.5</v>
      </c>
      <c r="C49" s="9" t="s">
        <v>330</v>
      </c>
    </row>
    <row r="50" spans="1:19" ht="16" thickBot="1">
      <c r="A50" s="200" t="s">
        <v>88</v>
      </c>
      <c r="B50" s="169">
        <f>I74</f>
        <v>980</v>
      </c>
      <c r="C50" s="9" t="s">
        <v>330</v>
      </c>
      <c r="D50" s="25"/>
      <c r="E50" s="25"/>
      <c r="F50" s="25"/>
      <c r="K50" s="442" t="s">
        <v>242</v>
      </c>
      <c r="L50" s="443"/>
      <c r="M50" s="443"/>
      <c r="N50" s="444"/>
      <c r="P50" s="442" t="s">
        <v>243</v>
      </c>
      <c r="Q50" s="443"/>
      <c r="R50" s="444"/>
      <c r="S50" t="s">
        <v>292</v>
      </c>
    </row>
    <row r="51" spans="1:19" ht="16" thickBot="1">
      <c r="A51" s="200" t="s">
        <v>277</v>
      </c>
      <c r="B51" s="169">
        <f>18*14</f>
        <v>252</v>
      </c>
      <c r="C51" s="90" t="s">
        <v>251</v>
      </c>
      <c r="D51" s="25"/>
      <c r="K51" s="423" t="s">
        <v>104</v>
      </c>
      <c r="L51" s="447"/>
      <c r="M51" s="217" t="s">
        <v>108</v>
      </c>
      <c r="N51" s="207" t="s">
        <v>109</v>
      </c>
      <c r="P51" s="445" t="s">
        <v>104</v>
      </c>
      <c r="Q51" s="446"/>
      <c r="R51" s="207" t="s">
        <v>108</v>
      </c>
      <c r="S51" s="86"/>
    </row>
    <row r="52" spans="1:19">
      <c r="A52" s="200" t="s">
        <v>89</v>
      </c>
      <c r="B52" s="201">
        <v>0</v>
      </c>
      <c r="C52" s="90"/>
      <c r="D52" s="25"/>
      <c r="E52" s="452" t="s">
        <v>105</v>
      </c>
      <c r="F52" s="453"/>
      <c r="G52" s="453"/>
      <c r="H52" s="453"/>
      <c r="I52" s="454"/>
      <c r="J52" s="37"/>
      <c r="K52" s="218">
        <v>0</v>
      </c>
      <c r="L52" s="49">
        <v>30000</v>
      </c>
      <c r="M52" s="50">
        <v>24.25</v>
      </c>
      <c r="N52" s="219">
        <v>12.75</v>
      </c>
      <c r="O52" s="25"/>
      <c r="P52" s="208">
        <v>0</v>
      </c>
      <c r="Q52" s="206">
        <v>30000</v>
      </c>
      <c r="R52" s="209">
        <v>32.090000000000003</v>
      </c>
    </row>
    <row r="53" spans="1:19" ht="16" thickBot="1">
      <c r="A53" s="202" t="s">
        <v>289</v>
      </c>
      <c r="B53" s="175">
        <f>SUM(B48:B52)</f>
        <v>14866.34</v>
      </c>
      <c r="C53" s="25"/>
      <c r="E53" s="461" t="s">
        <v>117</v>
      </c>
      <c r="F53" s="463"/>
      <c r="G53" s="463"/>
      <c r="H53" s="462"/>
      <c r="I53" s="129">
        <f>'2020 Living Wage Income'!D38-('2020 Living Wage Income'!D41+'2020 Living Wage Income'!D42+'2020 Living Wage Income'!D43+'2020 Living Wage Income'!D44)</f>
        <v>59994.996687799998</v>
      </c>
      <c r="J53" s="40"/>
      <c r="K53" s="210">
        <v>30001</v>
      </c>
      <c r="L53" s="42">
        <v>31000</v>
      </c>
      <c r="M53" s="51">
        <v>21.27</v>
      </c>
      <c r="N53" s="212">
        <v>11.44</v>
      </c>
      <c r="P53" s="210">
        <v>30001</v>
      </c>
      <c r="Q53" s="42">
        <v>31000</v>
      </c>
      <c r="R53" s="209">
        <v>32.090000000000003</v>
      </c>
    </row>
    <row r="54" spans="1:19" s="25" customFormat="1" ht="17" thickTop="1" thickBot="1">
      <c r="A54" s="203" t="s">
        <v>81</v>
      </c>
      <c r="B54" s="197">
        <f>B53/12</f>
        <v>1238.8616666666667</v>
      </c>
      <c r="E54" s="145"/>
      <c r="F54" s="147"/>
      <c r="G54" s="147"/>
      <c r="H54" s="146"/>
      <c r="I54" s="199"/>
      <c r="J54" s="40"/>
      <c r="K54" s="210">
        <v>31001</v>
      </c>
      <c r="L54" s="42">
        <v>32000</v>
      </c>
      <c r="M54" s="51">
        <v>18.66</v>
      </c>
      <c r="N54" s="212">
        <v>10.26</v>
      </c>
      <c r="O54"/>
      <c r="P54" s="210">
        <v>31001</v>
      </c>
      <c r="Q54" s="42">
        <v>32000</v>
      </c>
      <c r="R54" s="209">
        <v>32.090000000000003</v>
      </c>
    </row>
    <row r="55" spans="1:19">
      <c r="A55" s="198"/>
      <c r="B55" s="35"/>
      <c r="C55" s="25"/>
      <c r="D55" s="21"/>
      <c r="E55" s="461"/>
      <c r="F55" s="462"/>
      <c r="G55" s="22" t="s">
        <v>106</v>
      </c>
      <c r="H55" s="22" t="s">
        <v>107</v>
      </c>
      <c r="I55" s="130" t="s">
        <v>110</v>
      </c>
      <c r="J55" s="39"/>
      <c r="K55" s="210">
        <v>32001</v>
      </c>
      <c r="L55" s="42">
        <v>33000</v>
      </c>
      <c r="M55" s="51">
        <v>16.37</v>
      </c>
      <c r="N55" s="212">
        <v>9.1999999999999993</v>
      </c>
      <c r="P55" s="210">
        <v>32001</v>
      </c>
      <c r="Q55" s="42">
        <v>33000</v>
      </c>
      <c r="R55" s="209">
        <v>32.090000000000003</v>
      </c>
    </row>
    <row r="56" spans="1:19" ht="16" thickBot="1">
      <c r="A56" s="53"/>
      <c r="B56" s="34"/>
      <c r="C56" s="54"/>
      <c r="E56" s="459" t="s">
        <v>114</v>
      </c>
      <c r="F56" s="460"/>
      <c r="G56" s="38">
        <f>12*23</f>
        <v>276</v>
      </c>
      <c r="H56" s="33">
        <f>LOOKUP(I53, P52:Q92, R52:R92)</f>
        <v>11.39</v>
      </c>
      <c r="I56" s="131">
        <f>G56*H56</f>
        <v>3143.6400000000003</v>
      </c>
      <c r="K56" s="210">
        <v>33001</v>
      </c>
      <c r="L56" s="42">
        <v>34000</v>
      </c>
      <c r="M56" s="51">
        <v>14.36</v>
      </c>
      <c r="N56" s="212">
        <v>8.25</v>
      </c>
      <c r="O56" s="25"/>
      <c r="P56" s="210">
        <v>33001</v>
      </c>
      <c r="Q56" s="42">
        <v>34000</v>
      </c>
      <c r="R56" s="209">
        <v>32.090000000000003</v>
      </c>
    </row>
    <row r="57" spans="1:19" s="25" customFormat="1" ht="16">
      <c r="A57" s="450" t="s">
        <v>113</v>
      </c>
      <c r="B57" s="451"/>
      <c r="E57" s="459" t="s">
        <v>118</v>
      </c>
      <c r="F57" s="460"/>
      <c r="G57" s="38">
        <f>42*5</f>
        <v>210</v>
      </c>
      <c r="H57" s="33">
        <f>LOOKUP(I53, K52:L78, N52:N78)</f>
        <v>0</v>
      </c>
      <c r="I57" s="131">
        <f>G57*H57</f>
        <v>0</v>
      </c>
      <c r="K57" s="210">
        <v>34001</v>
      </c>
      <c r="L57" s="42">
        <v>35000</v>
      </c>
      <c r="M57" s="51">
        <v>12.6</v>
      </c>
      <c r="N57" s="212">
        <v>7.4</v>
      </c>
      <c r="P57" s="210">
        <v>34001</v>
      </c>
      <c r="Q57" s="42">
        <v>35000</v>
      </c>
      <c r="R57" s="209">
        <v>32.090000000000003</v>
      </c>
    </row>
    <row r="58" spans="1:19" s="25" customFormat="1">
      <c r="A58" s="200" t="s">
        <v>263</v>
      </c>
      <c r="B58" s="175">
        <f>MBM!I31</f>
        <v>12602.980079681274</v>
      </c>
      <c r="E58" s="143"/>
      <c r="F58" s="144"/>
      <c r="G58" s="38"/>
      <c r="H58" s="33"/>
      <c r="I58" s="131"/>
      <c r="K58" s="210">
        <v>35001</v>
      </c>
      <c r="L58" s="42">
        <v>36000</v>
      </c>
      <c r="M58" s="51">
        <v>11.05</v>
      </c>
      <c r="N58" s="212">
        <v>6.64</v>
      </c>
      <c r="O58"/>
      <c r="P58" s="210">
        <v>35001</v>
      </c>
      <c r="Q58" s="42">
        <v>36000</v>
      </c>
      <c r="R58" s="209">
        <v>32.090000000000003</v>
      </c>
    </row>
    <row r="59" spans="1:19" s="25" customFormat="1" ht="16" thickBot="1">
      <c r="A59" s="204" t="s">
        <v>81</v>
      </c>
      <c r="B59" s="197">
        <f>B58/12</f>
        <v>1050.2483399734394</v>
      </c>
      <c r="E59" s="459" t="s">
        <v>133</v>
      </c>
      <c r="F59" s="460"/>
      <c r="G59" s="38">
        <v>35</v>
      </c>
      <c r="H59" s="23">
        <v>0</v>
      </c>
      <c r="I59" s="131">
        <f>G59*H59</f>
        <v>0</v>
      </c>
      <c r="J59" s="39"/>
      <c r="K59" s="210">
        <v>36001</v>
      </c>
      <c r="L59" s="42">
        <v>37000</v>
      </c>
      <c r="M59" s="51">
        <v>9.69</v>
      </c>
      <c r="N59" s="212">
        <v>5.96</v>
      </c>
      <c r="O59"/>
      <c r="P59" s="210">
        <v>36001</v>
      </c>
      <c r="Q59" s="42">
        <v>37000</v>
      </c>
      <c r="R59" s="209">
        <v>32.090000000000003</v>
      </c>
    </row>
    <row r="60" spans="1:19" ht="16" thickBot="1">
      <c r="A60" s="53"/>
      <c r="B60" s="35"/>
      <c r="C60" s="25"/>
      <c r="D60" s="25"/>
      <c r="E60" s="455" t="s">
        <v>111</v>
      </c>
      <c r="F60" s="456"/>
      <c r="G60" s="456"/>
      <c r="H60" s="457"/>
      <c r="I60" s="132">
        <f>SUM(I56:I59)</f>
        <v>3143.6400000000003</v>
      </c>
      <c r="J60" s="39"/>
      <c r="K60" s="210">
        <v>37001</v>
      </c>
      <c r="L60" s="42">
        <v>38000</v>
      </c>
      <c r="M60" s="51">
        <v>8.5</v>
      </c>
      <c r="N60" s="212">
        <v>5.34</v>
      </c>
      <c r="O60" s="25"/>
      <c r="P60" s="210">
        <v>37001</v>
      </c>
      <c r="Q60" s="42">
        <v>38000</v>
      </c>
      <c r="R60" s="211">
        <v>32.090000000000003</v>
      </c>
    </row>
    <row r="61" spans="1:19" ht="16" thickBot="1">
      <c r="A61" s="186"/>
      <c r="B61" s="178"/>
      <c r="C61" s="25"/>
      <c r="D61" s="25"/>
      <c r="E61" s="25"/>
      <c r="F61" s="25"/>
      <c r="G61" s="25"/>
      <c r="H61" s="25"/>
      <c r="I61" s="25"/>
      <c r="J61" s="25"/>
      <c r="K61" s="210">
        <v>38001</v>
      </c>
      <c r="L61" s="42">
        <v>39000</v>
      </c>
      <c r="M61" s="51">
        <v>7.46</v>
      </c>
      <c r="N61" s="212">
        <v>4.79</v>
      </c>
      <c r="O61" s="25"/>
      <c r="P61" s="210">
        <v>38001</v>
      </c>
      <c r="Q61" s="42">
        <v>39000</v>
      </c>
      <c r="R61" s="212">
        <v>30.48</v>
      </c>
    </row>
    <row r="62" spans="1:19" s="25" customFormat="1" ht="17" thickBot="1">
      <c r="A62" s="448" t="s">
        <v>135</v>
      </c>
      <c r="B62" s="449"/>
      <c r="D62" s="55"/>
      <c r="E62" s="436" t="s">
        <v>248</v>
      </c>
      <c r="F62" s="437"/>
      <c r="G62" s="437"/>
      <c r="H62" s="437"/>
      <c r="I62" s="438"/>
      <c r="K62" s="210">
        <v>39001</v>
      </c>
      <c r="L62" s="42">
        <v>40000</v>
      </c>
      <c r="M62" s="51">
        <v>6.54</v>
      </c>
      <c r="N62" s="212">
        <v>4.3</v>
      </c>
      <c r="O62"/>
      <c r="P62" s="210">
        <v>39001</v>
      </c>
      <c r="Q62" s="42">
        <v>40000</v>
      </c>
      <c r="R62" s="212">
        <v>29.08</v>
      </c>
    </row>
    <row r="63" spans="1:19" s="25" customFormat="1">
      <c r="A63" s="163" t="s">
        <v>136</v>
      </c>
      <c r="B63" s="205">
        <v>176.33</v>
      </c>
      <c r="C63" s="25" t="s">
        <v>330</v>
      </c>
      <c r="D63" s="21"/>
      <c r="E63" s="87" t="s">
        <v>245</v>
      </c>
      <c r="F63" s="88"/>
      <c r="G63" s="88" t="s">
        <v>246</v>
      </c>
      <c r="H63" s="88" t="s">
        <v>247</v>
      </c>
      <c r="I63" s="94" t="s">
        <v>110</v>
      </c>
      <c r="K63" s="210">
        <v>40001</v>
      </c>
      <c r="L63" s="42">
        <v>41000</v>
      </c>
      <c r="M63" s="51">
        <v>5.74</v>
      </c>
      <c r="N63" s="212">
        <v>3.86</v>
      </c>
      <c r="O63"/>
      <c r="P63" s="210">
        <v>40001</v>
      </c>
      <c r="Q63" s="42">
        <v>41000</v>
      </c>
      <c r="R63" s="212">
        <v>27.75</v>
      </c>
    </row>
    <row r="64" spans="1:19" ht="16" thickBot="1">
      <c r="A64" s="161" t="s">
        <v>137</v>
      </c>
      <c r="B64" s="197">
        <f>B63*12</f>
        <v>2115.96</v>
      </c>
      <c r="C64" s="25"/>
      <c r="D64" s="21"/>
      <c r="E64" s="95" t="s">
        <v>252</v>
      </c>
      <c r="F64" s="96"/>
      <c r="G64" s="96">
        <v>276</v>
      </c>
      <c r="H64" s="97">
        <v>32.090000000000003</v>
      </c>
      <c r="I64" s="98">
        <f>H64*G64</f>
        <v>8856.84</v>
      </c>
      <c r="J64" s="25"/>
      <c r="K64" s="210">
        <v>41001</v>
      </c>
      <c r="L64" s="42">
        <v>42000</v>
      </c>
      <c r="M64" s="51">
        <v>5.03</v>
      </c>
      <c r="N64" s="212">
        <v>3.46</v>
      </c>
      <c r="P64" s="210">
        <v>41001</v>
      </c>
      <c r="Q64" s="42">
        <v>42000</v>
      </c>
      <c r="R64" s="212">
        <v>26.48</v>
      </c>
    </row>
    <row r="65" spans="1:18">
      <c r="A65" s="48"/>
      <c r="B65" s="43"/>
      <c r="C65" s="25"/>
      <c r="D65" s="21"/>
      <c r="E65" s="25"/>
      <c r="F65" s="25"/>
      <c r="G65" s="21"/>
      <c r="H65" s="81"/>
      <c r="I65" s="25"/>
      <c r="J65" s="25"/>
      <c r="K65" s="210">
        <v>42001</v>
      </c>
      <c r="L65" s="42">
        <v>43000</v>
      </c>
      <c r="M65" s="51">
        <v>4.42</v>
      </c>
      <c r="N65" s="212">
        <v>3.1</v>
      </c>
      <c r="P65" s="210">
        <v>42001</v>
      </c>
      <c r="Q65" s="42">
        <v>43000</v>
      </c>
      <c r="R65" s="212">
        <v>25.27</v>
      </c>
    </row>
    <row r="66" spans="1:18" ht="16" thickBot="1">
      <c r="A66" s="48"/>
      <c r="C66" s="46"/>
      <c r="D66" s="21"/>
      <c r="E66" s="25"/>
      <c r="F66" s="25"/>
      <c r="G66" s="25"/>
      <c r="H66" s="81"/>
      <c r="I66" s="25"/>
      <c r="J66" s="25"/>
      <c r="K66" s="210">
        <v>43001</v>
      </c>
      <c r="L66" s="42">
        <v>44000</v>
      </c>
      <c r="M66" s="51">
        <v>3.87</v>
      </c>
      <c r="N66" s="212">
        <v>2.78</v>
      </c>
      <c r="P66" s="210">
        <v>43001</v>
      </c>
      <c r="Q66" s="42">
        <v>44000</v>
      </c>
      <c r="R66" s="212">
        <v>24.11</v>
      </c>
    </row>
    <row r="67" spans="1:18" ht="16" thickBot="1">
      <c r="C67" s="45"/>
      <c r="D67" s="21"/>
      <c r="E67" s="436" t="s">
        <v>249</v>
      </c>
      <c r="F67" s="437"/>
      <c r="G67" s="437"/>
      <c r="H67" s="437"/>
      <c r="I67" s="438"/>
      <c r="J67" s="25"/>
      <c r="K67" s="210">
        <v>44001</v>
      </c>
      <c r="L67" s="42">
        <v>45000</v>
      </c>
      <c r="M67" s="51">
        <v>3.4</v>
      </c>
      <c r="N67" s="212">
        <v>2.5</v>
      </c>
      <c r="P67" s="210">
        <v>44001</v>
      </c>
      <c r="Q67" s="42">
        <v>45000</v>
      </c>
      <c r="R67" s="212">
        <v>23</v>
      </c>
    </row>
    <row r="68" spans="1:18" ht="16" thickBot="1">
      <c r="A68" s="187"/>
      <c r="B68" s="179"/>
      <c r="C68" s="45"/>
      <c r="D68" s="44"/>
      <c r="E68" s="83" t="s">
        <v>245</v>
      </c>
      <c r="F68" s="84"/>
      <c r="G68" s="84" t="s">
        <v>246</v>
      </c>
      <c r="H68" s="84" t="s">
        <v>247</v>
      </c>
      <c r="I68" s="85" t="s">
        <v>110</v>
      </c>
      <c r="J68" s="25"/>
      <c r="K68" s="210">
        <v>45001</v>
      </c>
      <c r="L68" s="42">
        <v>46000</v>
      </c>
      <c r="M68" s="51">
        <v>2.98</v>
      </c>
      <c r="N68" s="212">
        <v>2.2400000000000002</v>
      </c>
      <c r="P68" s="210">
        <v>45001</v>
      </c>
      <c r="Q68" s="42">
        <v>46000</v>
      </c>
      <c r="R68" s="212">
        <v>21.95</v>
      </c>
    </row>
    <row r="69" spans="1:18" ht="16" thickBot="1">
      <c r="A69" s="188"/>
      <c r="B69" s="179"/>
      <c r="D69" s="21"/>
      <c r="E69" s="133" t="s">
        <v>335</v>
      </c>
      <c r="F69" s="134"/>
      <c r="G69" s="134">
        <v>210</v>
      </c>
      <c r="H69" s="135">
        <v>22.75</v>
      </c>
      <c r="I69" s="136">
        <f>H69*G69</f>
        <v>4777.5</v>
      </c>
      <c r="J69" s="25"/>
      <c r="K69" s="210">
        <v>46001</v>
      </c>
      <c r="L69" s="42">
        <v>47000</v>
      </c>
      <c r="M69" s="51">
        <v>2.61</v>
      </c>
      <c r="N69" s="212">
        <v>2.0099999999999998</v>
      </c>
      <c r="P69" s="210">
        <v>46001</v>
      </c>
      <c r="Q69" s="42">
        <v>47000</v>
      </c>
      <c r="R69" s="212">
        <v>20.94</v>
      </c>
    </row>
    <row r="70" spans="1:18">
      <c r="A70" s="189"/>
      <c r="D70" s="25"/>
      <c r="H70" s="81"/>
      <c r="J70" s="25"/>
      <c r="K70" s="210">
        <v>47001</v>
      </c>
      <c r="L70" s="42">
        <v>48000</v>
      </c>
      <c r="M70" s="51">
        <v>2.29</v>
      </c>
      <c r="N70" s="212">
        <v>1.8</v>
      </c>
      <c r="P70" s="210">
        <v>47001</v>
      </c>
      <c r="Q70" s="42">
        <v>48000</v>
      </c>
      <c r="R70" s="212">
        <v>19.989999999999998</v>
      </c>
    </row>
    <row r="71" spans="1:18" ht="16" thickBot="1">
      <c r="A71" s="189"/>
      <c r="D71" s="25"/>
      <c r="H71" s="81"/>
      <c r="J71" s="25"/>
      <c r="K71" s="210">
        <v>48001</v>
      </c>
      <c r="L71" s="42">
        <v>49000</v>
      </c>
      <c r="M71" s="51">
        <v>2.0099999999999998</v>
      </c>
      <c r="N71" s="212">
        <v>1.62</v>
      </c>
      <c r="P71" s="210">
        <v>48001</v>
      </c>
      <c r="Q71" s="42">
        <v>49000</v>
      </c>
      <c r="R71" s="212">
        <v>19.07</v>
      </c>
    </row>
    <row r="72" spans="1:18" ht="16" thickBot="1">
      <c r="A72" s="190"/>
      <c r="D72" s="25"/>
      <c r="E72" s="439" t="s">
        <v>250</v>
      </c>
      <c r="F72" s="440"/>
      <c r="G72" s="440"/>
      <c r="H72" s="440"/>
      <c r="I72" s="441"/>
      <c r="J72" s="25"/>
      <c r="K72" s="210">
        <v>49001</v>
      </c>
      <c r="L72" s="42">
        <v>50000</v>
      </c>
      <c r="M72" s="51">
        <v>1.75</v>
      </c>
      <c r="N72" s="212">
        <v>1.45</v>
      </c>
      <c r="P72" s="210">
        <v>49001</v>
      </c>
      <c r="Q72" s="42">
        <v>50000</v>
      </c>
      <c r="R72" s="212">
        <v>18.2</v>
      </c>
    </row>
    <row r="73" spans="1:18" ht="16" thickBot="1">
      <c r="A73" s="190"/>
      <c r="D73" s="25"/>
      <c r="E73" s="83" t="s">
        <v>245</v>
      </c>
      <c r="F73" s="84"/>
      <c r="G73" s="84" t="s">
        <v>246</v>
      </c>
      <c r="H73" s="84" t="s">
        <v>247</v>
      </c>
      <c r="I73" s="85" t="s">
        <v>110</v>
      </c>
      <c r="K73" s="210">
        <v>50001</v>
      </c>
      <c r="L73" s="42">
        <v>51000</v>
      </c>
      <c r="M73" s="51">
        <v>1.55</v>
      </c>
      <c r="N73" s="212">
        <v>1.3</v>
      </c>
      <c r="P73" s="210">
        <v>50001</v>
      </c>
      <c r="Q73" s="42">
        <v>51000</v>
      </c>
      <c r="R73" s="212">
        <v>17.36</v>
      </c>
    </row>
    <row r="74" spans="1:18" ht="16" thickBot="1">
      <c r="E74" s="469" t="s">
        <v>336</v>
      </c>
      <c r="F74" s="470"/>
      <c r="G74" s="96">
        <v>35</v>
      </c>
      <c r="H74" s="471">
        <v>28</v>
      </c>
      <c r="I74" s="472">
        <f t="shared" ref="I74" si="0">G74*H74</f>
        <v>980</v>
      </c>
      <c r="K74" s="213">
        <v>51001</v>
      </c>
      <c r="L74" s="47">
        <v>52000</v>
      </c>
      <c r="M74" s="52">
        <v>1.36</v>
      </c>
      <c r="N74" s="214">
        <v>1.1599999999999999</v>
      </c>
      <c r="P74" s="213">
        <v>51001</v>
      </c>
      <c r="Q74" s="47">
        <v>52000</v>
      </c>
      <c r="R74" s="214">
        <v>16.57</v>
      </c>
    </row>
    <row r="75" spans="1:18">
      <c r="E75" s="54"/>
      <c r="F75" s="37"/>
      <c r="G75" s="37"/>
      <c r="H75" s="37"/>
      <c r="I75" s="37"/>
      <c r="K75" s="213">
        <v>52001</v>
      </c>
      <c r="L75" s="47">
        <v>53000</v>
      </c>
      <c r="M75" s="52">
        <v>1.19</v>
      </c>
      <c r="N75" s="214">
        <v>1.04</v>
      </c>
      <c r="P75" s="213">
        <v>52001</v>
      </c>
      <c r="Q75" s="47">
        <v>53000</v>
      </c>
      <c r="R75" s="214">
        <v>15.81</v>
      </c>
    </row>
    <row r="76" spans="1:18">
      <c r="E76" s="37"/>
      <c r="F76" s="37"/>
      <c r="G76" s="37"/>
      <c r="H76" s="468"/>
      <c r="I76" s="37"/>
      <c r="K76" s="213">
        <v>53001</v>
      </c>
      <c r="L76" s="47">
        <v>54000</v>
      </c>
      <c r="M76" s="52">
        <v>1.04</v>
      </c>
      <c r="N76" s="214">
        <v>0.94</v>
      </c>
      <c r="P76" s="213">
        <v>53001</v>
      </c>
      <c r="Q76" s="47">
        <v>54000</v>
      </c>
      <c r="R76" s="214">
        <v>15.09</v>
      </c>
    </row>
    <row r="77" spans="1:18">
      <c r="E77" s="37"/>
      <c r="F77" s="37"/>
      <c r="G77" s="37"/>
      <c r="H77" s="37"/>
      <c r="I77" s="37"/>
      <c r="K77" s="213">
        <v>54001</v>
      </c>
      <c r="L77" s="47">
        <v>55000</v>
      </c>
      <c r="M77" s="52">
        <v>0.92</v>
      </c>
      <c r="N77" s="214">
        <v>0.84</v>
      </c>
      <c r="P77" s="213">
        <v>54001</v>
      </c>
      <c r="Q77" s="47">
        <v>55000</v>
      </c>
      <c r="R77" s="214">
        <v>14.39</v>
      </c>
    </row>
    <row r="78" spans="1:18" ht="16" thickBot="1">
      <c r="E78" s="37"/>
      <c r="F78" s="37"/>
      <c r="G78" s="37"/>
      <c r="H78" s="37"/>
      <c r="I78" s="37"/>
      <c r="K78" s="215">
        <v>55001</v>
      </c>
      <c r="L78" s="220" t="s">
        <v>119</v>
      </c>
      <c r="M78" s="221">
        <v>0</v>
      </c>
      <c r="N78" s="216">
        <v>0</v>
      </c>
      <c r="P78" s="213">
        <v>55001</v>
      </c>
      <c r="Q78" s="47">
        <v>56000</v>
      </c>
      <c r="R78" s="214">
        <v>13.73</v>
      </c>
    </row>
    <row r="79" spans="1:18">
      <c r="E79" s="37"/>
      <c r="F79" s="37"/>
      <c r="G79" s="37"/>
      <c r="H79" s="468"/>
      <c r="I79" s="37"/>
      <c r="P79" s="213">
        <v>56001</v>
      </c>
      <c r="Q79" s="47">
        <v>57000</v>
      </c>
      <c r="R79" s="214">
        <v>13.11</v>
      </c>
    </row>
    <row r="80" spans="1:18">
      <c r="E80" s="37"/>
      <c r="F80" s="37"/>
      <c r="G80" s="37"/>
      <c r="H80" s="37"/>
      <c r="I80" s="37"/>
      <c r="P80" s="213">
        <v>57001</v>
      </c>
      <c r="Q80" s="47">
        <v>58000</v>
      </c>
      <c r="R80" s="214">
        <v>12.51</v>
      </c>
    </row>
    <row r="81" spans="5:18">
      <c r="E81" s="37"/>
      <c r="F81" s="37"/>
      <c r="G81" s="37"/>
      <c r="H81" s="37"/>
      <c r="I81" s="37"/>
      <c r="P81" s="213">
        <v>58001</v>
      </c>
      <c r="Q81" s="47">
        <v>59000</v>
      </c>
      <c r="R81" s="214">
        <v>11.93</v>
      </c>
    </row>
    <row r="82" spans="5:18">
      <c r="E82" s="37"/>
      <c r="F82" s="37"/>
      <c r="G82" s="37"/>
      <c r="H82" s="37"/>
      <c r="I82" s="37"/>
      <c r="P82" s="213">
        <v>59001</v>
      </c>
      <c r="Q82" s="47">
        <v>60000</v>
      </c>
      <c r="R82" s="214">
        <v>11.39</v>
      </c>
    </row>
    <row r="83" spans="5:18">
      <c r="E83" s="37"/>
      <c r="F83" s="54"/>
      <c r="G83" s="54"/>
      <c r="H83" s="54"/>
      <c r="I83" s="82"/>
      <c r="P83" s="213">
        <v>60001</v>
      </c>
      <c r="Q83" s="47">
        <v>61000</v>
      </c>
      <c r="R83" s="214">
        <v>10.86</v>
      </c>
    </row>
    <row r="84" spans="5:18">
      <c r="P84" s="213">
        <v>61000</v>
      </c>
      <c r="Q84" s="47">
        <v>62000</v>
      </c>
      <c r="R84" s="214">
        <v>10.37</v>
      </c>
    </row>
    <row r="85" spans="5:18">
      <c r="P85" s="213">
        <v>62001</v>
      </c>
      <c r="Q85" s="47">
        <v>63000</v>
      </c>
      <c r="R85" s="214">
        <v>9.89</v>
      </c>
    </row>
    <row r="86" spans="5:18">
      <c r="P86" s="213">
        <v>63001</v>
      </c>
      <c r="Q86" s="47">
        <v>64000</v>
      </c>
      <c r="R86" s="214">
        <v>9.44</v>
      </c>
    </row>
    <row r="87" spans="5:18">
      <c r="P87" s="213">
        <v>64001</v>
      </c>
      <c r="Q87" s="47">
        <v>65000</v>
      </c>
      <c r="R87" s="214">
        <v>9.01</v>
      </c>
    </row>
    <row r="88" spans="5:18">
      <c r="P88" s="213">
        <v>65001</v>
      </c>
      <c r="Q88" s="47">
        <v>66000</v>
      </c>
      <c r="R88" s="214">
        <v>8.59</v>
      </c>
    </row>
    <row r="89" spans="5:18">
      <c r="P89" s="213">
        <v>66001</v>
      </c>
      <c r="Q89" s="47">
        <v>67000</v>
      </c>
      <c r="R89" s="214">
        <v>8.1999999999999993</v>
      </c>
    </row>
    <row r="90" spans="5:18">
      <c r="P90" s="213">
        <v>67000</v>
      </c>
      <c r="Q90" s="47">
        <v>68000</v>
      </c>
      <c r="R90" s="214">
        <v>7.82</v>
      </c>
    </row>
    <row r="91" spans="5:18">
      <c r="P91" s="213">
        <v>68000</v>
      </c>
      <c r="Q91" s="47">
        <v>69000</v>
      </c>
      <c r="R91" s="214">
        <v>7.47</v>
      </c>
    </row>
    <row r="92" spans="5:18">
      <c r="P92" s="213">
        <v>69000</v>
      </c>
      <c r="Q92" s="47">
        <v>70000</v>
      </c>
      <c r="R92" s="214">
        <v>7.12</v>
      </c>
    </row>
    <row r="93" spans="5:18">
      <c r="P93" s="213">
        <v>70001</v>
      </c>
      <c r="Q93" s="47">
        <v>71000</v>
      </c>
      <c r="R93" s="214">
        <v>6.8</v>
      </c>
    </row>
    <row r="94" spans="5:18">
      <c r="P94" s="213">
        <v>71000</v>
      </c>
      <c r="Q94" s="47">
        <v>72000</v>
      </c>
      <c r="R94" s="214">
        <v>6.49</v>
      </c>
    </row>
    <row r="95" spans="5:18">
      <c r="P95" s="213">
        <v>72000</v>
      </c>
      <c r="Q95" s="47">
        <v>73000</v>
      </c>
      <c r="R95" s="214">
        <v>6.19</v>
      </c>
    </row>
    <row r="96" spans="5:18">
      <c r="P96" s="213">
        <v>73000</v>
      </c>
      <c r="Q96" s="47">
        <v>74000</v>
      </c>
      <c r="R96" s="214">
        <v>5.91</v>
      </c>
    </row>
    <row r="97" spans="16:18">
      <c r="P97" s="213">
        <v>74000</v>
      </c>
      <c r="Q97" s="47">
        <v>75000</v>
      </c>
      <c r="R97" s="214">
        <v>5.64</v>
      </c>
    </row>
    <row r="98" spans="16:18">
      <c r="P98" s="213">
        <v>75000</v>
      </c>
      <c r="Q98" s="47">
        <v>76000</v>
      </c>
      <c r="R98" s="214">
        <v>5.38</v>
      </c>
    </row>
    <row r="99" spans="16:18">
      <c r="P99" s="213">
        <v>76000</v>
      </c>
      <c r="Q99" s="47">
        <v>77000</v>
      </c>
      <c r="R99" s="214">
        <v>5.13</v>
      </c>
    </row>
    <row r="100" spans="16:18">
      <c r="P100" s="213">
        <v>77000</v>
      </c>
      <c r="Q100" s="47">
        <v>78000</v>
      </c>
      <c r="R100" s="214">
        <v>4.9000000000000004</v>
      </c>
    </row>
    <row r="101" spans="16:18">
      <c r="P101" s="213">
        <v>78001</v>
      </c>
      <c r="Q101" s="47">
        <v>79000</v>
      </c>
      <c r="R101" s="214">
        <v>4.67</v>
      </c>
    </row>
    <row r="102" spans="16:18">
      <c r="P102" s="213">
        <v>79001</v>
      </c>
      <c r="Q102" s="47">
        <v>80000</v>
      </c>
      <c r="R102" s="214">
        <v>4.46</v>
      </c>
    </row>
    <row r="103" spans="16:18" ht="16" thickBot="1">
      <c r="P103" s="215">
        <v>80000</v>
      </c>
      <c r="Q103" s="222">
        <v>81000</v>
      </c>
      <c r="R103" s="216">
        <v>4.25</v>
      </c>
    </row>
  </sheetData>
  <mergeCells count="24">
    <mergeCell ref="A1:B1"/>
    <mergeCell ref="A23:B23"/>
    <mergeCell ref="E59:F59"/>
    <mergeCell ref="E55:F55"/>
    <mergeCell ref="E56:F56"/>
    <mergeCell ref="E57:F57"/>
    <mergeCell ref="E53:H53"/>
    <mergeCell ref="A17:B17"/>
    <mergeCell ref="A3:B3"/>
    <mergeCell ref="C1:D1"/>
    <mergeCell ref="A31:B31"/>
    <mergeCell ref="A39:B39"/>
    <mergeCell ref="A47:B47"/>
    <mergeCell ref="A62:B62"/>
    <mergeCell ref="A57:B57"/>
    <mergeCell ref="E52:I52"/>
    <mergeCell ref="E60:H60"/>
    <mergeCell ref="E62:I62"/>
    <mergeCell ref="E67:I67"/>
    <mergeCell ref="E72:I72"/>
    <mergeCell ref="K50:N50"/>
    <mergeCell ref="P50:R50"/>
    <mergeCell ref="P51:Q51"/>
    <mergeCell ref="K51:L51"/>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2020 Living Wage Income</vt:lpstr>
      <vt:lpstr>Table II - Government Transfers</vt:lpstr>
      <vt:lpstr>Table IV - Taxes and Credits</vt:lpstr>
      <vt:lpstr>CPI</vt:lpstr>
      <vt:lpstr>MBM</vt:lpstr>
      <vt:lpstr>Family Expenses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Partridge</dc:creator>
  <cp:lastModifiedBy>Microsoft Office User</cp:lastModifiedBy>
  <cp:revision/>
  <dcterms:created xsi:type="dcterms:W3CDTF">2014-07-08T21:01:56Z</dcterms:created>
  <dcterms:modified xsi:type="dcterms:W3CDTF">2020-08-31T12:04:11Z</dcterms:modified>
</cp:coreProperties>
</file>